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📖 How To Use" sheetId="1" state="visible" r:id="rId1"/>
    <sheet name="Dashboard" sheetId="2" state="visible" r:id="rId2"/>
    <sheet name="Assignments" sheetId="3" state="visible" r:id="rId3"/>
    <sheet name="Quizzes" sheetId="4" state="visible" r:id="rId4"/>
    <sheet name="Deadlines" sheetId="5" state="visible" r:id="rId5"/>
    <sheet name="Topic Analysis" sheetId="6" state="visible" r:id="rId6"/>
    <sheet name="Revision Priority" sheetId="7" state="visible" r:id="rId7"/>
    <sheet name="Topics" sheetId="8" state="visible" r:id="rId8"/>
  </sheets>
  <definedNames>
    <definedName name="Unit1Topics">Topics!$D$7:$D$64</definedName>
    <definedName name="Unit2Topics">Topics!$H$7:$H$42</definedName>
    <definedName name="UnitList">Topics!$K$3:$K$4</definedName>
    <definedName name="AssignTypeList">Topics!$K$8:$K$13</definedName>
    <definedName name="StatusList">Topics!$K$18:$K$21</definedName>
    <definedName name="DifficultyList">Topics!$K$26:$K$28</definedName>
    <definedName name="QuizTypeList">Topics!$K$33:$K$37</definedName>
  </definedNames>
  <calcPr calcId="124519" fullCalcOnLoad="1"/>
</workbook>
</file>

<file path=xl/styles.xml><?xml version="1.0" encoding="utf-8"?>
<styleSheet xmlns="http://schemas.openxmlformats.org/spreadsheetml/2006/main">
  <numFmts count="4">
    <numFmt numFmtId="164" formatCode="dd-mmm-yyyy"/>
    <numFmt numFmtId="165" formatCode="0.0%"/>
    <numFmt numFmtId="166" formatCode="dd mmm yyyy"/>
    <numFmt numFmtId="167" formatCode="0.0"/>
  </numFmts>
  <fonts count="23">
    <font>
      <name val="Calibri"/>
      <family val="2"/>
      <color theme="1"/>
      <sz val="11"/>
      <scheme val="minor"/>
    </font>
    <font>
      <name val="Arial"/>
      <b val="1"/>
      <color rgb="00FFC000"/>
      <sz val="16"/>
    </font>
    <font>
      <name val="Arial"/>
      <color rgb="00FFF2CC"/>
      <sz val="10"/>
    </font>
    <font>
      <name val="Arial"/>
      <b val="1"/>
      <color rgb="00FFFFFF"/>
      <sz val="11"/>
    </font>
    <font>
      <name val="Arial"/>
      <b val="1"/>
      <color rgb="00FFFFFF"/>
      <sz val="10"/>
    </font>
    <font>
      <name val="Arial"/>
      <color rgb="00000000"/>
      <sz val="10"/>
    </font>
    <font>
      <name val="Arial"/>
      <color rgb="00FFF2CC"/>
      <sz val="9"/>
    </font>
    <font>
      <name val="Arial"/>
      <b val="1"/>
      <color rgb="00FFC000"/>
      <sz val="10"/>
    </font>
    <font>
      <name val="Arial"/>
      <b val="1"/>
      <color rgb="001F3864"/>
      <sz val="10"/>
    </font>
    <font>
      <name val="Arial"/>
      <b val="1"/>
      <color rgb="00FFC000"/>
      <sz val="22"/>
    </font>
    <font>
      <name val="Arial"/>
      <b val="1"/>
      <color rgb="00FFF2CC"/>
      <sz val="11"/>
    </font>
    <font>
      <name val="Arial"/>
      <color rgb="00FFF2CC"/>
      <sz val="11"/>
    </font>
    <font>
      <name val="Arial"/>
      <color rgb="00FFFFFF"/>
      <sz val="11"/>
    </font>
    <font>
      <name val="Arial"/>
      <b val="1"/>
      <color rgb="00FFC000"/>
      <sz val="12"/>
    </font>
    <font>
      <name val="Arial"/>
      <b val="1"/>
      <color rgb="00FFFFFF"/>
      <sz val="9"/>
    </font>
    <font>
      <name val="Arial"/>
      <b val="1"/>
      <color rgb="001F3864"/>
      <sz val="22"/>
    </font>
    <font>
      <name val="Arial"/>
      <b val="1"/>
      <color rgb="001F3864"/>
      <sz val="20"/>
    </font>
    <font>
      <name val="Arial"/>
      <b val="1"/>
      <color rgb="001A6B3A"/>
      <sz val="11"/>
    </font>
    <font>
      <name val="Arial"/>
      <b val="1"/>
      <color rgb="007D4800"/>
      <sz val="11"/>
    </font>
    <font>
      <name val="Arial"/>
      <b val="1"/>
      <color rgb="008B0000"/>
      <sz val="11"/>
    </font>
    <font>
      <name val="Arial"/>
      <b val="1"/>
      <color rgb="001F3864"/>
      <sz val="11"/>
    </font>
    <font>
      <name val="Arial"/>
      <color rgb="00FFF2CC"/>
      <sz val="12"/>
    </font>
    <font>
      <name val="Arial"/>
      <b val="1"/>
      <color rgb="00FFC000"/>
      <sz val="13"/>
    </font>
  </fonts>
  <fills count="14">
    <fill>
      <patternFill/>
    </fill>
    <fill>
      <patternFill patternType="gray125"/>
    </fill>
    <fill>
      <patternFill patternType="solid">
        <fgColor rgb="001F3864"/>
        <bgColor rgb="001F3864"/>
      </patternFill>
    </fill>
    <fill>
      <patternFill patternType="solid">
        <fgColor rgb="002E4A87"/>
        <bgColor rgb="002E4A87"/>
      </patternFill>
    </fill>
    <fill>
      <patternFill patternType="solid">
        <fgColor rgb="002E5090"/>
        <bgColor rgb="002E5090"/>
      </patternFill>
    </fill>
    <fill>
      <patternFill patternType="solid">
        <fgColor rgb="00FFFFFF"/>
        <bgColor rgb="00FFFFFF"/>
      </patternFill>
    </fill>
    <fill>
      <patternFill patternType="solid">
        <fgColor rgb="00F0F6FF"/>
        <bgColor rgb="00F0F6FF"/>
      </patternFill>
    </fill>
    <fill>
      <patternFill patternType="solid">
        <fgColor rgb="00F0F4FA"/>
        <bgColor rgb="00F0F4FA"/>
      </patternFill>
    </fill>
    <fill>
      <patternFill patternType="solid">
        <fgColor rgb="001A6B3A"/>
        <bgColor rgb="001A6B3A"/>
      </patternFill>
    </fill>
    <fill>
      <patternFill patternType="solid">
        <fgColor rgb="007D4800"/>
        <bgColor rgb="007D4800"/>
      </patternFill>
    </fill>
    <fill>
      <patternFill patternType="solid">
        <fgColor rgb="008B0000"/>
        <bgColor rgb="008B0000"/>
      </patternFill>
    </fill>
    <fill>
      <patternFill patternType="solid">
        <fgColor rgb="00E2EFDA"/>
        <bgColor rgb="00E2EFDA"/>
      </patternFill>
    </fill>
    <fill>
      <patternFill patternType="solid">
        <fgColor rgb="00FFF2CC"/>
        <bgColor rgb="00FFF2CC"/>
      </patternFill>
    </fill>
    <fill>
      <patternFill patternType="solid">
        <fgColor rgb="00FCE4D6"/>
        <bgColor rgb="00FCE4D6"/>
      </patternFill>
    </fill>
  </fills>
  <borders count="6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  <border>
      <left/>
      <right/>
      <top style="thin">
        <color rgb="00BFBFBF"/>
      </top>
      <bottom/>
      <diagonal/>
    </border>
    <border>
      <left/>
      <right style="thin">
        <color rgb="00BFBFBF"/>
      </right>
      <top style="thin">
        <color rgb="00BFBFBF"/>
      </top>
      <bottom/>
      <diagonal/>
    </border>
    <border>
      <left/>
      <right style="thin">
        <color rgb="00BFBFBF"/>
      </right>
      <top style="thin">
        <color rgb="00BFBFBF"/>
      </top>
      <bottom style="thin">
        <color rgb="00BFBFBF"/>
      </bottom>
      <diagonal/>
    </border>
    <border>
      <left/>
      <right/>
      <top style="thin">
        <color rgb="00BFBFBF"/>
      </top>
      <bottom style="thin">
        <color rgb="00BFBFBF"/>
      </bottom>
      <diagonal/>
    </border>
  </borders>
  <cellStyleXfs count="1">
    <xf numFmtId="0" fontId="0" fillId="0" borderId="0"/>
  </cellStyleXfs>
  <cellXfs count="68">
    <xf numFmtId="0" fontId="0" fillId="0" borderId="0" pivotButton="0" quotePrefix="0" xfId="0"/>
    <xf numFmtId="0" fontId="1" fillId="2" borderId="0" pivotButton="0" quotePrefix="0" xfId="0"/>
    <xf numFmtId="0" fontId="4" fillId="3" borderId="0" applyAlignment="1" pivotButton="0" quotePrefix="0" xfId="0">
      <alignment horizontal="center" vertical="center" wrapText="1"/>
    </xf>
    <xf numFmtId="0" fontId="2" fillId="2" borderId="0" pivotButton="0" quotePrefix="0" xfId="0"/>
    <xf numFmtId="0" fontId="0" fillId="6" borderId="1" applyAlignment="1" pivotButton="0" quotePrefix="0" xfId="0">
      <alignment horizontal="center" vertical="center" wrapText="1"/>
    </xf>
    <xf numFmtId="0" fontId="3" fillId="3" borderId="0" applyAlignment="1" pivotButton="0" quotePrefix="0" xfId="0">
      <alignment horizontal="center" vertical="center" wrapText="1"/>
    </xf>
    <xf numFmtId="0" fontId="4" fillId="4" borderId="0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left" vertical="center" wrapText="1"/>
    </xf>
    <xf numFmtId="0" fontId="5" fillId="6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 wrapText="1"/>
    </xf>
    <xf numFmtId="0" fontId="1" fillId="2" borderId="0" applyAlignment="1" pivotButton="0" quotePrefix="0" xfId="0">
      <alignment horizontal="left" vertical="center" indent="1"/>
    </xf>
    <xf numFmtId="0" fontId="6" fillId="4" borderId="0" applyAlignment="1" pivotButton="0" quotePrefix="0" xfId="0">
      <alignment horizontal="left" vertical="center" indent="1"/>
    </xf>
    <xf numFmtId="0" fontId="7" fillId="2" borderId="1" applyAlignment="1" pivotButton="0" quotePrefix="0" xfId="0">
      <alignment horizontal="center" vertical="center" wrapText="1"/>
    </xf>
    <xf numFmtId="0" fontId="8" fillId="5" borderId="1" applyAlignment="1" pivotButton="0" quotePrefix="0" xfId="0">
      <alignment horizontal="center" vertical="center" wrapText="1"/>
    </xf>
    <xf numFmtId="164" fontId="5" fillId="5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center" vertical="center" wrapText="1"/>
    </xf>
    <xf numFmtId="1" fontId="5" fillId="5" borderId="1" applyAlignment="1" pivotButton="0" quotePrefix="0" xfId="0">
      <alignment horizontal="center" vertical="center" wrapText="1"/>
    </xf>
    <xf numFmtId="165" fontId="8" fillId="5" borderId="1" applyAlignment="1" pivotButton="0" quotePrefix="0" xfId="0">
      <alignment horizontal="center" vertical="center" wrapText="1"/>
    </xf>
    <xf numFmtId="1" fontId="8" fillId="5" borderId="1" applyAlignment="1" pivotButton="0" quotePrefix="0" xfId="0">
      <alignment horizontal="center" vertical="center" wrapText="1"/>
    </xf>
    <xf numFmtId="0" fontId="8" fillId="6" borderId="1" applyAlignment="1" pivotButton="0" quotePrefix="0" xfId="0">
      <alignment horizontal="center" vertical="center" wrapText="1"/>
    </xf>
    <xf numFmtId="164" fontId="5" fillId="6" borderId="1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center" vertical="center" wrapText="1"/>
    </xf>
    <xf numFmtId="1" fontId="5" fillId="6" borderId="1" applyAlignment="1" pivotButton="0" quotePrefix="0" xfId="0">
      <alignment horizontal="center" vertical="center" wrapText="1"/>
    </xf>
    <xf numFmtId="165" fontId="8" fillId="6" borderId="1" applyAlignment="1" pivotButton="0" quotePrefix="0" xfId="0">
      <alignment horizontal="center" vertical="center" wrapText="1"/>
    </xf>
    <xf numFmtId="1" fontId="8" fillId="6" borderId="1" applyAlignment="1" pivotButton="0" quotePrefix="0" xfId="0">
      <alignment horizontal="center" vertical="center" wrapText="1"/>
    </xf>
    <xf numFmtId="0" fontId="9" fillId="2" borderId="0" applyAlignment="1" pivotButton="0" quotePrefix="0" xfId="0">
      <alignment horizontal="left" vertical="center" indent="1"/>
    </xf>
    <xf numFmtId="0" fontId="10" fillId="2" borderId="0" applyAlignment="1" pivotButton="0" quotePrefix="0" xfId="0">
      <alignment horizontal="right" vertical="center" indent="1"/>
    </xf>
    <xf numFmtId="0" fontId="11" fillId="2" borderId="0" applyAlignment="1" pivotButton="0" quotePrefix="0" xfId="0">
      <alignment horizontal="left" vertical="center" indent="1"/>
    </xf>
    <xf numFmtId="0" fontId="7" fillId="2" borderId="0" applyAlignment="1" pivotButton="0" quotePrefix="0" xfId="0">
      <alignment horizontal="left" vertical="center" indent="1"/>
    </xf>
    <xf numFmtId="0" fontId="12" fillId="2" borderId="0" applyAlignment="1" pivotButton="0" quotePrefix="0" xfId="0">
      <alignment horizontal="left" vertical="center" indent="1"/>
    </xf>
    <xf numFmtId="166" fontId="3" fillId="2" borderId="0" applyAlignment="1" pivotButton="0" quotePrefix="0" xfId="0">
      <alignment horizontal="center" vertical="center" wrapText="1"/>
    </xf>
    <xf numFmtId="0" fontId="13" fillId="2" borderId="0" applyAlignment="1" pivotButton="0" quotePrefix="0" xfId="0">
      <alignment horizontal="left" vertical="center" indent="1"/>
    </xf>
    <xf numFmtId="0" fontId="14" fillId="2" borderId="0" applyAlignment="1" pivotButton="0" quotePrefix="0" xfId="0">
      <alignment horizontal="center" vertical="center" wrapText="1"/>
    </xf>
    <xf numFmtId="0" fontId="14" fillId="8" borderId="0" applyAlignment="1" pivotButton="0" quotePrefix="0" xfId="0">
      <alignment horizontal="center" vertical="center" wrapText="1"/>
    </xf>
    <xf numFmtId="0" fontId="14" fillId="9" borderId="0" applyAlignment="1" pivotButton="0" quotePrefix="0" xfId="0">
      <alignment horizontal="center" vertical="center" wrapText="1"/>
    </xf>
    <xf numFmtId="0" fontId="14" fillId="10" borderId="0" applyAlignment="1" pivotButton="0" quotePrefix="0" xfId="0">
      <alignment horizontal="center" vertical="center" wrapText="1"/>
    </xf>
    <xf numFmtId="0" fontId="14" fillId="3" borderId="0" applyAlignment="1" pivotButton="0" quotePrefix="0" xfId="0">
      <alignment horizontal="center" vertical="center" wrapText="1"/>
    </xf>
    <xf numFmtId="0" fontId="15" fillId="7" borderId="1" applyAlignment="1" pivotButton="0" quotePrefix="0" xfId="0">
      <alignment horizontal="center" vertical="center" wrapText="1"/>
    </xf>
    <xf numFmtId="0" fontId="0" fillId="0" borderId="4" pivotButton="0" quotePrefix="0" xfId="0"/>
    <xf numFmtId="165" fontId="16" fillId="7" borderId="1" applyAlignment="1" pivotButton="0" quotePrefix="0" xfId="0">
      <alignment horizontal="center" vertical="center" wrapText="1"/>
    </xf>
    <xf numFmtId="167" fontId="16" fillId="7" borderId="1" applyAlignment="1" pivotButton="0" quotePrefix="0" xfId="0">
      <alignment horizontal="center" vertical="center" wrapText="1"/>
    </xf>
    <xf numFmtId="1" fontId="16" fillId="7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17" fillId="11" borderId="1" applyAlignment="1" pivotButton="0" quotePrefix="0" xfId="0">
      <alignment horizontal="center" vertical="center" wrapText="1"/>
    </xf>
    <xf numFmtId="0" fontId="18" fillId="12" borderId="1" applyAlignment="1" pivotButton="0" quotePrefix="0" xfId="0">
      <alignment horizontal="center" vertical="center" wrapText="1"/>
    </xf>
    <xf numFmtId="0" fontId="19" fillId="13" borderId="1" applyAlignment="1" pivotButton="0" quotePrefix="0" xfId="0">
      <alignment horizontal="center" vertical="center" wrapText="1"/>
    </xf>
    <xf numFmtId="165" fontId="5" fillId="5" borderId="1" applyAlignment="1" pivotButton="0" quotePrefix="0" xfId="0">
      <alignment horizontal="center" vertical="center" wrapText="1"/>
    </xf>
    <xf numFmtId="165" fontId="5" fillId="6" borderId="1" applyAlignment="1" pivotButton="0" quotePrefix="0" xfId="0">
      <alignment horizontal="center" vertical="center" wrapText="1"/>
    </xf>
    <xf numFmtId="0" fontId="2" fillId="4" borderId="0" applyAlignment="1" pivotButton="0" quotePrefix="0" xfId="0">
      <alignment horizontal="left" vertical="center" indent="1"/>
    </xf>
    <xf numFmtId="0" fontId="4" fillId="3" borderId="1" applyAlignment="1" pivotButton="0" quotePrefix="0" xfId="0">
      <alignment horizontal="center" vertical="center" wrapText="1"/>
    </xf>
    <xf numFmtId="167" fontId="0" fillId="5" borderId="1" applyAlignment="1" pivotButton="0" quotePrefix="0" xfId="0">
      <alignment horizontal="center" vertical="center" wrapText="1"/>
    </xf>
    <xf numFmtId="167" fontId="0" fillId="6" borderId="1" applyAlignment="1" pivotButton="0" quotePrefix="0" xfId="0">
      <alignment horizontal="center" vertical="center" wrapText="1"/>
    </xf>
    <xf numFmtId="0" fontId="4" fillId="8" borderId="1" applyAlignment="1" pivotButton="0" quotePrefix="0" xfId="0">
      <alignment horizontal="center" vertical="center" wrapText="1"/>
    </xf>
    <xf numFmtId="0" fontId="20" fillId="5" borderId="1" applyAlignment="1" pivotButton="0" quotePrefix="0" xfId="0">
      <alignment horizontal="center" vertical="center" wrapText="1"/>
    </xf>
    <xf numFmtId="167" fontId="5" fillId="5" borderId="1" applyAlignment="1" pivotButton="0" quotePrefix="0" xfId="0">
      <alignment horizontal="center" vertical="center" wrapText="1"/>
    </xf>
    <xf numFmtId="0" fontId="20" fillId="6" borderId="1" applyAlignment="1" pivotButton="0" quotePrefix="0" xfId="0">
      <alignment horizontal="center" vertical="center" wrapText="1"/>
    </xf>
    <xf numFmtId="167" fontId="5" fillId="6" borderId="1" applyAlignment="1" pivotButton="0" quotePrefix="0" xfId="0">
      <alignment horizontal="center" vertical="center" wrapText="1"/>
    </xf>
    <xf numFmtId="0" fontId="21" fillId="2" borderId="0" applyAlignment="1" pivotButton="0" quotePrefix="0" xfId="0">
      <alignment horizontal="left" vertical="center" indent="1"/>
    </xf>
    <xf numFmtId="0" fontId="22" fillId="2" borderId="0" applyAlignment="1" pivotButton="0" quotePrefix="0" xfId="0">
      <alignment horizontal="left" vertical="center" indent="1"/>
    </xf>
    <xf numFmtId="0" fontId="8" fillId="5" borderId="1" applyAlignment="1" pivotButton="0" quotePrefix="0" xfId="0">
      <alignment horizontal="left" vertical="center" wrapText="1" indent="1"/>
    </xf>
    <xf numFmtId="0" fontId="5" fillId="5" borderId="1" applyAlignment="1" pivotButton="0" quotePrefix="0" xfId="0">
      <alignment horizontal="left" vertical="center" wrapText="1" indent="1"/>
    </xf>
    <xf numFmtId="0" fontId="8" fillId="6" borderId="1" applyAlignment="1" pivotButton="0" quotePrefix="0" xfId="0">
      <alignment horizontal="left" vertical="center" wrapText="1" indent="1"/>
    </xf>
    <xf numFmtId="0" fontId="5" fillId="6" borderId="1" applyAlignment="1" pivotButton="0" quotePrefix="0" xfId="0">
      <alignment horizontal="left" vertical="center" wrapText="1" indent="1"/>
    </xf>
    <xf numFmtId="0" fontId="4" fillId="10" borderId="0" applyAlignment="1" pivotButton="0" quotePrefix="0" xfId="0">
      <alignment horizontal="center" vertical="center" wrapText="1"/>
    </xf>
    <xf numFmtId="0" fontId="4" fillId="9" borderId="0" applyAlignment="1" pivotButton="0" quotePrefix="0" xfId="0">
      <alignment horizontal="center" vertical="center" wrapText="1"/>
    </xf>
    <xf numFmtId="0" fontId="4" fillId="8" borderId="0" applyAlignment="1" pivotButton="0" quotePrefix="0" xfId="0">
      <alignment horizontal="center" vertical="center" wrapText="1"/>
    </xf>
  </cellXfs>
  <cellStyles count="1">
    <cellStyle name="Normal" xfId="0" builtinId="0" hidden="0"/>
  </cellStyles>
  <dxfs count="4">
    <dxf>
      <font>
        <name val="Arial"/>
        <b val="1"/>
        <color rgb="008B0000"/>
        <sz val="10"/>
      </font>
      <fill>
        <patternFill patternType="solid">
          <fgColor rgb="00FCE4D6"/>
          <bgColor rgb="00FCE4D6"/>
        </patternFill>
      </fill>
    </dxf>
    <dxf>
      <font>
        <name val="Arial"/>
        <b val="1"/>
        <color rgb="007D4800"/>
        <sz val="10"/>
      </font>
      <fill>
        <patternFill patternType="solid">
          <fgColor rgb="00FFF2CC"/>
          <bgColor rgb="00FFF2CC"/>
        </patternFill>
      </fill>
    </dxf>
    <dxf>
      <font>
        <name val="Arial"/>
        <b val="1"/>
        <color rgb="001A6B3A"/>
        <sz val="10"/>
      </font>
      <fill>
        <patternFill patternType="solid">
          <fgColor rgb="00E2EFDA"/>
          <bgColor rgb="00E2EFDA"/>
        </patternFill>
      </fill>
    </dxf>
    <dxf>
      <font>
        <name val="Arial"/>
        <b val="1"/>
        <color rgb="001F3864"/>
        <sz val="10"/>
      </font>
      <fill>
        <patternFill patternType="solid">
          <fgColor rgb="00F0F6FF"/>
          <bgColor rgb="00F0F6FF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styles" Target="styles.xml" Id="rId9" /><Relationship Type="http://schemas.openxmlformats.org/officeDocument/2006/relationships/theme" Target="theme/theme1.xml" Id="rId10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F3864"/>
    <outlinePr summaryBelow="1" summaryRight="1"/>
    <pageSetUpPr/>
  </sheetPr>
  <dimension ref="B2:C53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32" customWidth="1" min="2" max="2"/>
    <col width="90" customWidth="1" min="3" max="3"/>
    <col width="3" customWidth="1" min="4" max="4"/>
  </cols>
  <sheetData>
    <row r="2" ht="38" customHeight="1">
      <c r="B2" s="26" t="inlineStr">
        <is>
          <t>⭐   Elite IGCSE Assignment &amp; Quiz Tracker</t>
        </is>
      </c>
    </row>
    <row r="3" ht="24" customHeight="1">
      <c r="B3" s="59" t="inlineStr">
        <is>
          <t>Edexcel 4MA1  ·  Unit 1 + Unit 2  ·  Eng. Eslam Ahmed</t>
        </is>
      </c>
    </row>
    <row r="5" ht="26" customHeight="1">
      <c r="B5" s="60" t="inlineStr">
        <is>
          <t>🚀 QUICK START</t>
        </is>
      </c>
    </row>
    <row r="6" ht="24" customHeight="1">
      <c r="B6" s="61" t="inlineStr">
        <is>
          <t>1. Type your name</t>
        </is>
      </c>
      <c r="C6" s="62" t="inlineStr">
        <is>
          <t>Go to the Dashboard tab → click the name cell → type your student name.</t>
        </is>
      </c>
    </row>
    <row r="7" ht="24" customHeight="1">
      <c r="B7" s="63" t="inlineStr">
        <is>
          <t>2. Log an assignment</t>
        </is>
      </c>
      <c r="C7" s="64" t="inlineStr">
        <is>
          <t>Open the 'Assignments' tab and fill one row per task. Start with Date Assigned → Due → Unit → Topic → Type → Title → Raw Mark → Max Mark.</t>
        </is>
      </c>
    </row>
    <row r="8" ht="24" customHeight="1">
      <c r="B8" s="61" t="inlineStr">
        <is>
          <t>3. Log a quiz</t>
        </is>
      </c>
      <c r="C8" s="62" t="inlineStr">
        <is>
          <t>Open the 'Quizzes' tab and do the same. Include Duration and Time Taken for efficiency tracking.</t>
        </is>
      </c>
    </row>
    <row r="9" ht="24" customHeight="1">
      <c r="B9" s="63" t="inlineStr">
        <is>
          <t>4. Watch the magic</t>
        </is>
      </c>
      <c r="C9" s="64" t="inlineStr">
        <is>
          <t>% / Grade / Status / Days Late / Dashboard KPIs / Topic Analysis / Revision Priority all update automatically.</t>
        </is>
      </c>
    </row>
    <row r="11" ht="26" customHeight="1">
      <c r="B11" s="60" t="inlineStr">
        <is>
          <t>📋 SHEETS OVERVIEW</t>
        </is>
      </c>
    </row>
    <row r="12" ht="24" customHeight="1">
      <c r="B12" s="61" t="inlineStr">
        <is>
          <t>Dashboard</t>
        </is>
      </c>
      <c r="C12" s="62" t="inlineStr">
        <is>
          <t>Bird's-eye view: KPIs, grade distribution, recent 10 assignments, recent 10 quizzes.</t>
        </is>
      </c>
    </row>
    <row r="13" ht="24" customHeight="1">
      <c r="B13" s="63" t="inlineStr">
        <is>
          <t>Assignments</t>
        </is>
      </c>
      <c r="C13" s="64" t="inlineStr">
        <is>
          <t>120 rows pre-built. Dropdowns for Unit / Topic / Type / Difficulty. Auto %, grade, status, days late.</t>
        </is>
      </c>
    </row>
    <row r="14" ht="24" customHeight="1">
      <c r="B14" s="61" t="inlineStr">
        <is>
          <t>Quizzes</t>
        </is>
      </c>
      <c r="C14" s="62" t="inlineStr">
        <is>
          <t>120 rows. Logs every quiz or test. Tracks duration vs time taken to measure efficiency.</t>
        </is>
      </c>
    </row>
    <row r="15" ht="24" customHeight="1">
      <c r="B15" s="63" t="inlineStr">
        <is>
          <t>Topic Analysis</t>
        </is>
      </c>
      <c r="C15" s="64" t="inlineStr">
        <is>
          <t>Every Unit 1 + Unit 2 topic listed. Shows attempts, averages, best &amp; lowest per topic.</t>
        </is>
      </c>
    </row>
    <row r="16" ht="24" customHeight="1">
      <c r="B16" s="61" t="inlineStr">
        <is>
          <t>Revision Priority</t>
        </is>
      </c>
      <c r="C16" s="62" t="inlineStr">
        <is>
          <t>Topics auto-ranked by a priority score. Red = urgent study, green = mastered.</t>
        </is>
      </c>
    </row>
    <row r="17" ht="24" customHeight="1">
      <c r="B17" s="63" t="inlineStr">
        <is>
          <t>Deadlines</t>
        </is>
      </c>
      <c r="C17" s="64" t="inlineStr">
        <is>
          <t>Upcoming + overdue assignments. Color-coded days left. The 'due this week' card is your weekly to-do list.</t>
        </is>
      </c>
    </row>
    <row r="18" ht="24" customHeight="1">
      <c r="B18" s="61" t="inlineStr">
        <is>
          <t>Topics</t>
        </is>
      </c>
      <c r="C18" s="62" t="inlineStr">
        <is>
          <t>Reference list + dropdown lookup database. Don't edit — it feeds every dropdown.</t>
        </is>
      </c>
    </row>
    <row r="20" ht="26" customHeight="1">
      <c r="B20" s="60" t="inlineStr">
        <is>
          <t>🎯 HOW GRADES ARE CALCULATED</t>
        </is>
      </c>
    </row>
    <row r="21" ht="24" customHeight="1">
      <c r="B21" s="61" t="inlineStr">
        <is>
          <t>% ≥ 90%</t>
        </is>
      </c>
      <c r="C21" s="62" t="inlineStr">
        <is>
          <t>Grade A*</t>
        </is>
      </c>
    </row>
    <row r="22" ht="24" customHeight="1">
      <c r="B22" s="63" t="inlineStr">
        <is>
          <t>% ≥ 80%</t>
        </is>
      </c>
      <c r="C22" s="64" t="inlineStr">
        <is>
          <t>Grade A</t>
        </is>
      </c>
    </row>
    <row r="23" ht="24" customHeight="1">
      <c r="B23" s="61" t="inlineStr">
        <is>
          <t>% ≥ 70%</t>
        </is>
      </c>
      <c r="C23" s="62" t="inlineStr">
        <is>
          <t>Grade B</t>
        </is>
      </c>
    </row>
    <row r="24" ht="24" customHeight="1">
      <c r="B24" s="63" t="inlineStr">
        <is>
          <t>% ≥ 60%</t>
        </is>
      </c>
      <c r="C24" s="64" t="inlineStr">
        <is>
          <t>Grade C</t>
        </is>
      </c>
    </row>
    <row r="25" ht="24" customHeight="1">
      <c r="B25" s="61" t="inlineStr">
        <is>
          <t>% ≥ 50%</t>
        </is>
      </c>
      <c r="C25" s="62" t="inlineStr">
        <is>
          <t>Grade D</t>
        </is>
      </c>
    </row>
    <row r="26" ht="24" customHeight="1">
      <c r="B26" s="63" t="inlineStr">
        <is>
          <t>% ≥ 40%</t>
        </is>
      </c>
      <c r="C26" s="64" t="inlineStr">
        <is>
          <t>Grade E</t>
        </is>
      </c>
    </row>
    <row r="27" ht="24" customHeight="1">
      <c r="B27" s="61" t="inlineStr">
        <is>
          <t>% ≥ 30%</t>
        </is>
      </c>
      <c r="C27" s="62" t="inlineStr">
        <is>
          <t>Grade F</t>
        </is>
      </c>
    </row>
    <row r="28" ht="24" customHeight="1">
      <c r="B28" s="63" t="inlineStr">
        <is>
          <t>&lt; 30%</t>
        </is>
      </c>
      <c r="C28" s="64" t="inlineStr">
        <is>
          <t>Grade U</t>
        </is>
      </c>
    </row>
    <row r="30" ht="26" customHeight="1">
      <c r="B30" s="60" t="inlineStr">
        <is>
          <t>🚦 HOW STATUS IS CALCULATED</t>
        </is>
      </c>
    </row>
    <row r="31" ht="24" customHeight="1">
      <c r="B31" s="61" t="inlineStr">
        <is>
          <t>✅ On Time</t>
        </is>
      </c>
      <c r="C31" s="62" t="inlineStr">
        <is>
          <t>Submit Date filled AND Submit Date ≤ Due Date.</t>
        </is>
      </c>
    </row>
    <row r="32" ht="24" customHeight="1">
      <c r="B32" s="63" t="inlineStr">
        <is>
          <t>⏰ Late</t>
        </is>
      </c>
      <c r="C32" s="64" t="inlineStr">
        <is>
          <t>Submit Date filled AND Submit Date &gt; Due Date  →  Days Late column shows the difference.</t>
        </is>
      </c>
    </row>
    <row r="33" ht="24" customHeight="1">
      <c r="B33" s="61" t="inlineStr">
        <is>
          <t>❌ Missing</t>
        </is>
      </c>
      <c r="C33" s="62" t="inlineStr">
        <is>
          <t>Due Date has passed AND Submit Date is empty.</t>
        </is>
      </c>
    </row>
    <row r="34" ht="24" customHeight="1">
      <c r="B34" s="63" t="inlineStr">
        <is>
          <t>📝 Pending</t>
        </is>
      </c>
      <c r="C34" s="64" t="inlineStr">
        <is>
          <t>Due Date is in the future AND Submit Date is empty.</t>
        </is>
      </c>
    </row>
    <row r="36" ht="26" customHeight="1">
      <c r="B36" s="60" t="inlineStr">
        <is>
          <t>🎨 COLOR KEY</t>
        </is>
      </c>
    </row>
    <row r="37" ht="24" customHeight="1">
      <c r="B37" s="61" t="inlineStr">
        <is>
          <t>🟢 Green</t>
        </is>
      </c>
      <c r="C37" s="62" t="inlineStr">
        <is>
          <t>Strong performance (≥ 70%), on-time work, mastered topics.</t>
        </is>
      </c>
    </row>
    <row r="38" ht="24" customHeight="1">
      <c r="B38" s="63" t="inlineStr">
        <is>
          <t>🟡 Amber</t>
        </is>
      </c>
      <c r="C38" s="64" t="inlineStr">
        <is>
          <t>Needs attention — grade C/D, late submissions, due within 3 days.</t>
        </is>
      </c>
    </row>
    <row r="39" ht="24" customHeight="1">
      <c r="B39" s="61" t="inlineStr">
        <is>
          <t>🔴 Red</t>
        </is>
      </c>
      <c r="C39" s="62" t="inlineStr">
        <is>
          <t>Priority — grade E/F/U, missing work, overdue, % below 50%, urgent revision.</t>
        </is>
      </c>
    </row>
    <row r="40" ht="24" customHeight="1">
      <c r="B40" s="63" t="inlineStr">
        <is>
          <t>🔵 Blue</t>
        </is>
      </c>
      <c r="C40" s="64" t="inlineStr">
        <is>
          <t>Informational / neutral highlights (pending, zebra stripes).</t>
        </is>
      </c>
    </row>
    <row r="42" ht="26" customHeight="1">
      <c r="B42" s="60" t="inlineStr">
        <is>
          <t>💡 POWER TIPS</t>
        </is>
      </c>
    </row>
    <row r="43" ht="24" customHeight="1">
      <c r="B43" s="61" t="inlineStr">
        <is>
          <t>Dependent dropdowns</t>
        </is>
      </c>
      <c r="C43" s="62" t="inlineStr">
        <is>
          <t>After you pick a Unit, the Topic dropdown only shows that unit's topics — no mixing.</t>
        </is>
      </c>
    </row>
    <row r="44" ht="24" customHeight="1">
      <c r="B44" s="63" t="inlineStr">
        <is>
          <t>Revision Priority</t>
        </is>
      </c>
      <c r="C44" s="64" t="inlineStr">
        <is>
          <t>Topics you attempted many times but scored low → top of the list. Ignored topics get a neutral 50 score so you don't forget them.</t>
        </is>
      </c>
    </row>
    <row r="45" ht="24" customHeight="1">
      <c r="B45" s="61" t="inlineStr">
        <is>
          <t>Attempt #</t>
        </is>
      </c>
      <c r="C45" s="62" t="inlineStr">
        <is>
          <t>On Quizzes, put 1 for first try, 2 for retake etc. You can then see improvement over attempts.</t>
        </is>
      </c>
    </row>
    <row r="46" ht="24" customHeight="1">
      <c r="B46" s="63" t="inlineStr">
        <is>
          <t>Feedback column</t>
        </is>
      </c>
      <c r="C46" s="64" t="inlineStr">
        <is>
          <t>Use for wrong question numbers, teacher's comments, or what to review.</t>
        </is>
      </c>
    </row>
    <row r="47" ht="24" customHeight="1">
      <c r="B47" s="61" t="inlineStr">
        <is>
          <t>Add more rows</t>
        </is>
      </c>
      <c r="C47" s="62" t="inlineStr">
        <is>
          <t>120 rows per sheet. If you need more, copy a blank row and paste below — formulas &amp; formatting will come with it.</t>
        </is>
      </c>
    </row>
    <row r="48" ht="24" customHeight="1">
      <c r="B48" s="63" t="inlineStr">
        <is>
          <t>Filtering</t>
        </is>
      </c>
      <c r="C48" s="64" t="inlineStr">
        <is>
          <t>Use Excel's built-in Filter (Data → Filter) on any data sheet to slice by unit, topic, grade, etc.</t>
        </is>
      </c>
    </row>
    <row r="50" ht="26" customHeight="1">
      <c r="B50" s="60" t="inlineStr">
        <is>
          <t>⚠️ DO NOT TOUCH</t>
        </is>
      </c>
    </row>
    <row r="51" ht="24" customHeight="1">
      <c r="B51" s="61" t="inlineStr">
        <is>
          <t>Auto cells</t>
        </is>
      </c>
      <c r="C51" s="62" t="inlineStr">
        <is>
          <t>Columns marked 'auto' (%, Grade, Status, Days Late, #). They're live formulas.</t>
        </is>
      </c>
    </row>
    <row r="52" ht="24" customHeight="1">
      <c r="B52" s="63" t="inlineStr">
        <is>
          <t>Topics sheet</t>
        </is>
      </c>
      <c r="C52" s="64" t="inlineStr">
        <is>
          <t>It's the reference database that feeds every dropdown. Don't delete rows.</t>
        </is>
      </c>
    </row>
    <row r="53" ht="24" customHeight="1">
      <c r="B53" s="61" t="inlineStr">
        <is>
          <t>Named ranges</t>
        </is>
      </c>
      <c r="C53" s="62" t="inlineStr">
        <is>
          <t>Unit1Topics, Unit2Topics, UnitList, AssignTypeList, StatusList, DifficultyList, QuizTypeList — don't rename.</t>
        </is>
      </c>
    </row>
  </sheetData>
  <mergeCells count="9">
    <mergeCell ref="B30:C30"/>
    <mergeCell ref="B2:C2"/>
    <mergeCell ref="B11:C11"/>
    <mergeCell ref="B3:C3"/>
    <mergeCell ref="B5:C5"/>
    <mergeCell ref="B20:C20"/>
    <mergeCell ref="B42:C42"/>
    <mergeCell ref="B36:C36"/>
    <mergeCell ref="B50:C5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FFC000"/>
    <outlinePr summaryBelow="1" summaryRight="1"/>
    <pageSetUpPr/>
  </sheetPr>
  <dimension ref="B2:K56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18" customWidth="1" min="2" max="2"/>
    <col width="15" customWidth="1" min="3" max="3"/>
    <col width="15" customWidth="1" min="4" max="4"/>
    <col width="18" customWidth="1" min="5" max="5"/>
    <col width="15" customWidth="1" min="6" max="6"/>
    <col width="15" customWidth="1" min="7" max="7"/>
    <col width="18" customWidth="1" min="8" max="8"/>
    <col width="15" customWidth="1" min="9" max="9"/>
    <col width="15" customWidth="1" min="10" max="10"/>
    <col width="15" customWidth="1" min="11" max="11"/>
    <col width="4" customWidth="1" min="12" max="12"/>
  </cols>
  <sheetData>
    <row r="2" ht="38" customHeight="1">
      <c r="B2" s="26" t="inlineStr">
        <is>
          <t>⭐   Elite IGCSE Mathematics</t>
        </is>
      </c>
      <c r="I2" s="27" t="inlineStr">
        <is>
          <t>Eng. Eslam Ahmed</t>
        </is>
      </c>
    </row>
    <row r="3" ht="22" customHeight="1">
      <c r="B3" s="28" t="inlineStr">
        <is>
          <t>Edexcel 4MA1 Higher Tier  ·  Assignment &amp; Quiz Tracker  ·  Unit 1 + Unit 2</t>
        </is>
      </c>
    </row>
    <row r="4" ht="24" customHeight="1">
      <c r="B4" s="29" t="inlineStr">
        <is>
          <t>👤  Student Name:</t>
        </is>
      </c>
      <c r="D4" s="30" t="inlineStr">
        <is>
          <t>[ Type Your Name Here ]</t>
        </is>
      </c>
      <c r="G4" s="29" t="inlineStr">
        <is>
          <t>📅 Report Date:</t>
        </is>
      </c>
      <c r="I4" s="31">
        <f>TODAY()</f>
        <v/>
      </c>
    </row>
    <row r="6" ht="24" customHeight="1">
      <c r="B6" s="32" t="inlineStr">
        <is>
          <t>📝  ASSIGNMENTS — AT A GLANCE</t>
        </is>
      </c>
    </row>
    <row r="8" ht="18" customHeight="1">
      <c r="B8" s="33" t="inlineStr">
        <is>
          <t>📋 TOTAL LOGGED</t>
        </is>
      </c>
      <c r="D8" s="34" t="inlineStr">
        <is>
          <t>✅ ON TIME</t>
        </is>
      </c>
      <c r="F8" s="35" t="inlineStr">
        <is>
          <t>⏰ LATE</t>
        </is>
      </c>
      <c r="H8" s="36" t="inlineStr">
        <is>
          <t>❌ MISSING</t>
        </is>
      </c>
      <c r="J8" s="37" t="inlineStr">
        <is>
          <t>📝 PENDING</t>
        </is>
      </c>
    </row>
    <row r="9" ht="38" customHeight="1">
      <c r="B9" s="38">
        <f>COUNTA(Assignments!G5:G124)</f>
        <v/>
      </c>
      <c r="C9" s="39" t="n"/>
      <c r="D9" s="38">
        <f>COUNTIF(Assignments!N5:N124,"*On Time*")</f>
        <v/>
      </c>
      <c r="E9" s="39" t="n"/>
      <c r="F9" s="38">
        <f>COUNTIF(Assignments!N5:N124,"*Late*")</f>
        <v/>
      </c>
      <c r="G9" s="39" t="n"/>
      <c r="H9" s="38">
        <f>COUNTIF(Assignments!N5:N124,"*Missing*")</f>
        <v/>
      </c>
      <c r="I9" s="39" t="n"/>
      <c r="J9" s="38">
        <f>COUNTIF(Assignments!N5:N124,"*Pending*")</f>
        <v/>
      </c>
      <c r="K9" s="39" t="n"/>
    </row>
    <row r="11" ht="18" customHeight="1">
      <c r="B11" s="34" t="inlineStr">
        <is>
          <t>📊 AVERAGE %</t>
        </is>
      </c>
      <c r="D11" s="34" t="inlineStr">
        <is>
          <t>🏆 HIGHEST %</t>
        </is>
      </c>
      <c r="F11" s="36" t="inlineStr">
        <is>
          <t>⚠️ LOWEST %</t>
        </is>
      </c>
      <c r="H11" s="37" t="inlineStr">
        <is>
          <t>🎯 ON-TIME RATE</t>
        </is>
      </c>
      <c r="J11" s="35" t="inlineStr">
        <is>
          <t>⏳ AVG DAYS LATE</t>
        </is>
      </c>
    </row>
    <row r="12" ht="36" customHeight="1">
      <c r="B12" s="40">
        <f>IFERROR(AVERAGE(Assignments!L5:L124),"—")</f>
        <v/>
      </c>
      <c r="C12" s="39" t="n"/>
      <c r="D12" s="40">
        <f>IFERROR(MAX(Assignments!L5:L124),"—")</f>
        <v/>
      </c>
      <c r="E12" s="39" t="n"/>
      <c r="F12" s="40">
        <f>IFERROR(MIN(Assignments!L5:L124),"—")</f>
        <v/>
      </c>
      <c r="G12" s="39" t="n"/>
      <c r="H12" s="40">
        <f>IFERROR(COUNTIF(Assignments!N5:N124,"*On Time*")/(COUNTIF(Assignments!N5:N124,"*On Time*")+COUNTIF(Assignments!N5:N124,"*Late*")+COUNTIF(Assignments!N5:N124,"*Missing*")),"—")</f>
        <v/>
      </c>
      <c r="I12" s="39" t="n"/>
      <c r="J12" s="41">
        <f>IFERROR(AVERAGEIF(Assignments!O5:O124,"&gt;0"),"—")</f>
        <v/>
      </c>
      <c r="K12" s="39" t="n"/>
    </row>
    <row r="14" ht="24" customHeight="1">
      <c r="B14" s="32" t="inlineStr">
        <is>
          <t>🧠  QUIZZES — AT A GLANCE</t>
        </is>
      </c>
    </row>
    <row r="16" ht="18" customHeight="1">
      <c r="B16" s="33" t="inlineStr">
        <is>
          <t>🧾 TOTAL QUIZZES</t>
        </is>
      </c>
      <c r="D16" s="34" t="inlineStr">
        <is>
          <t>📊 AVERAGE %</t>
        </is>
      </c>
      <c r="F16" s="34" t="inlineStr">
        <is>
          <t>🏆 HIGHEST %</t>
        </is>
      </c>
      <c r="H16" s="36" t="inlineStr">
        <is>
          <t>⚠️ LOWEST %</t>
        </is>
      </c>
      <c r="J16" s="37" t="inlineStr">
        <is>
          <t>⏳ AVG TIME (min)</t>
        </is>
      </c>
    </row>
    <row r="17" ht="36" customHeight="1">
      <c r="B17" s="42">
        <f>COUNTA(Quizzes!F5:F124)</f>
        <v/>
      </c>
      <c r="C17" s="39" t="n"/>
      <c r="D17" s="40">
        <f>IFERROR(AVERAGE(Quizzes!J5:J124),"—")</f>
        <v/>
      </c>
      <c r="E17" s="39" t="n"/>
      <c r="F17" s="40">
        <f>IFERROR(MAX(Quizzes!J5:J124),"—")</f>
        <v/>
      </c>
      <c r="G17" s="39" t="n"/>
      <c r="H17" s="40">
        <f>IFERROR(MIN(Quizzes!J5:J124),"—")</f>
        <v/>
      </c>
      <c r="I17" s="39" t="n"/>
      <c r="J17" s="41">
        <f>IFERROR(AVERAGE(Quizzes!M5:M124),"—")</f>
        <v/>
      </c>
      <c r="K17" s="39" t="n"/>
    </row>
    <row r="19" ht="22" customHeight="1">
      <c r="B19" s="32" t="inlineStr">
        <is>
          <t>🏆  GRADE DISTRIBUTION</t>
        </is>
      </c>
    </row>
    <row r="20">
      <c r="B20" s="43" t="inlineStr">
        <is>
          <t>Grade</t>
        </is>
      </c>
      <c r="C20" s="43" t="inlineStr">
        <is>
          <t>Assignments</t>
        </is>
      </c>
      <c r="D20" s="43" t="inlineStr">
        <is>
          <t>Quizzes</t>
        </is>
      </c>
      <c r="E20" s="43" t="inlineStr">
        <is>
          <t>Combined</t>
        </is>
      </c>
      <c r="F20" s="43" t="inlineStr">
        <is>
          <t>Visual</t>
        </is>
      </c>
      <c r="G20" s="44" t="n"/>
      <c r="H20" s="44" t="n"/>
      <c r="I20" s="44" t="n"/>
      <c r="J20" s="44" t="n"/>
      <c r="K20" s="39" t="n"/>
    </row>
    <row r="21">
      <c r="B21" s="45" t="inlineStr">
        <is>
          <t>A*</t>
        </is>
      </c>
      <c r="C21" s="16">
        <f>COUNTIF(Assignments!M5:M124,"A*")</f>
        <v/>
      </c>
      <c r="D21" s="16">
        <f>COUNTIF(Quizzes!K5:K124,"A*")</f>
        <v/>
      </c>
      <c r="E21" s="14">
        <f>C21+D21</f>
        <v/>
      </c>
      <c r="F21" s="16">
        <f>E21</f>
        <v/>
      </c>
      <c r="G21" s="44" t="n"/>
      <c r="H21" s="44" t="n"/>
      <c r="I21" s="44" t="n"/>
      <c r="J21" s="44" t="n"/>
      <c r="K21" s="39" t="n"/>
    </row>
    <row r="22">
      <c r="B22" s="45" t="inlineStr">
        <is>
          <t>A</t>
        </is>
      </c>
      <c r="C22" s="22">
        <f>COUNTIF(Assignments!M5:M124,"A")</f>
        <v/>
      </c>
      <c r="D22" s="22">
        <f>COUNTIF(Quizzes!K5:K124,"A")</f>
        <v/>
      </c>
      <c r="E22" s="20">
        <f>C22+D22</f>
        <v/>
      </c>
      <c r="F22" s="22">
        <f>E22</f>
        <v/>
      </c>
      <c r="G22" s="44" t="n"/>
      <c r="H22" s="44" t="n"/>
      <c r="I22" s="44" t="n"/>
      <c r="J22" s="44" t="n"/>
      <c r="K22" s="39" t="n"/>
    </row>
    <row r="23">
      <c r="B23" s="45" t="inlineStr">
        <is>
          <t>B</t>
        </is>
      </c>
      <c r="C23" s="16">
        <f>COUNTIF(Assignments!M5:M124,"B")</f>
        <v/>
      </c>
      <c r="D23" s="16">
        <f>COUNTIF(Quizzes!K5:K124,"B")</f>
        <v/>
      </c>
      <c r="E23" s="14">
        <f>C23+D23</f>
        <v/>
      </c>
      <c r="F23" s="16">
        <f>E23</f>
        <v/>
      </c>
      <c r="G23" s="44" t="n"/>
      <c r="H23" s="44" t="n"/>
      <c r="I23" s="44" t="n"/>
      <c r="J23" s="44" t="n"/>
      <c r="K23" s="39" t="n"/>
    </row>
    <row r="24">
      <c r="B24" s="46" t="inlineStr">
        <is>
          <t>C</t>
        </is>
      </c>
      <c r="C24" s="22">
        <f>COUNTIF(Assignments!M5:M124,"C")</f>
        <v/>
      </c>
      <c r="D24" s="22">
        <f>COUNTIF(Quizzes!K5:K124,"C")</f>
        <v/>
      </c>
      <c r="E24" s="20">
        <f>C24+D24</f>
        <v/>
      </c>
      <c r="F24" s="22">
        <f>E24</f>
        <v/>
      </c>
      <c r="G24" s="44" t="n"/>
      <c r="H24" s="44" t="n"/>
      <c r="I24" s="44" t="n"/>
      <c r="J24" s="44" t="n"/>
      <c r="K24" s="39" t="n"/>
    </row>
    <row r="25">
      <c r="B25" s="46" t="inlineStr">
        <is>
          <t>D</t>
        </is>
      </c>
      <c r="C25" s="16">
        <f>COUNTIF(Assignments!M5:M124,"D")</f>
        <v/>
      </c>
      <c r="D25" s="16">
        <f>COUNTIF(Quizzes!K5:K124,"D")</f>
        <v/>
      </c>
      <c r="E25" s="14">
        <f>C25+D25</f>
        <v/>
      </c>
      <c r="F25" s="16">
        <f>E25</f>
        <v/>
      </c>
      <c r="G25" s="44" t="n"/>
      <c r="H25" s="44" t="n"/>
      <c r="I25" s="44" t="n"/>
      <c r="J25" s="44" t="n"/>
      <c r="K25" s="39" t="n"/>
    </row>
    <row r="26">
      <c r="B26" s="47" t="inlineStr">
        <is>
          <t>E</t>
        </is>
      </c>
      <c r="C26" s="22">
        <f>COUNTIF(Assignments!M5:M124,"E")</f>
        <v/>
      </c>
      <c r="D26" s="22">
        <f>COUNTIF(Quizzes!K5:K124,"E")</f>
        <v/>
      </c>
      <c r="E26" s="20">
        <f>C26+D26</f>
        <v/>
      </c>
      <c r="F26" s="22">
        <f>E26</f>
        <v/>
      </c>
      <c r="G26" s="44" t="n"/>
      <c r="H26" s="44" t="n"/>
      <c r="I26" s="44" t="n"/>
      <c r="J26" s="44" t="n"/>
      <c r="K26" s="39" t="n"/>
    </row>
    <row r="27">
      <c r="B27" s="47" t="inlineStr">
        <is>
          <t>F</t>
        </is>
      </c>
      <c r="C27" s="16">
        <f>COUNTIF(Assignments!M5:M124,"F")</f>
        <v/>
      </c>
      <c r="D27" s="16">
        <f>COUNTIF(Quizzes!K5:K124,"F")</f>
        <v/>
      </c>
      <c r="E27" s="14">
        <f>C27+D27</f>
        <v/>
      </c>
      <c r="F27" s="16">
        <f>E27</f>
        <v/>
      </c>
      <c r="G27" s="44" t="n"/>
      <c r="H27" s="44" t="n"/>
      <c r="I27" s="44" t="n"/>
      <c r="J27" s="44" t="n"/>
      <c r="K27" s="39" t="n"/>
    </row>
    <row r="28">
      <c r="B28" s="47" t="inlineStr">
        <is>
          <t>U</t>
        </is>
      </c>
      <c r="C28" s="22">
        <f>COUNTIF(Assignments!M5:M124,"U")</f>
        <v/>
      </c>
      <c r="D28" s="22">
        <f>COUNTIF(Quizzes!K5:K124,"U")</f>
        <v/>
      </c>
      <c r="E28" s="20">
        <f>C28+D28</f>
        <v/>
      </c>
      <c r="F28" s="22">
        <f>E28</f>
        <v/>
      </c>
      <c r="G28" s="44" t="n"/>
      <c r="H28" s="44" t="n"/>
      <c r="I28" s="44" t="n"/>
      <c r="J28" s="44" t="n"/>
      <c r="K28" s="39" t="n"/>
    </row>
    <row r="31" ht="22" customHeight="1">
      <c r="B31" s="32" t="inlineStr">
        <is>
          <t>📈  RECENT ASSIGNMENTS  (Last 10 Entries — auto-sorted newest first)</t>
        </is>
      </c>
    </row>
    <row r="32">
      <c r="B32" s="43" t="inlineStr">
        <is>
          <t>#</t>
        </is>
      </c>
      <c r="C32" s="43" t="inlineStr">
        <is>
          <t>Date</t>
        </is>
      </c>
      <c r="D32" s="43" t="inlineStr">
        <is>
          <t>Unit</t>
        </is>
      </c>
      <c r="E32" s="43" t="inlineStr">
        <is>
          <t>Topic</t>
        </is>
      </c>
      <c r="F32" s="43" t="inlineStr">
        <is>
          <t>Type</t>
        </is>
      </c>
      <c r="G32" s="43" t="inlineStr">
        <is>
          <t>Title</t>
        </is>
      </c>
      <c r="H32" s="43" t="inlineStr">
        <is>
          <t>Raw</t>
        </is>
      </c>
      <c r="I32" s="43" t="inlineStr">
        <is>
          <t>%</t>
        </is>
      </c>
      <c r="J32" s="43" t="inlineStr">
        <is>
          <t>Grade</t>
        </is>
      </c>
      <c r="K32" s="43" t="inlineStr">
        <is>
          <t>Status</t>
        </is>
      </c>
    </row>
    <row r="33">
      <c r="B33" s="16" t="n">
        <v>1</v>
      </c>
      <c r="C33" s="15">
        <f>IFERROR(INDEX(Assignments!$B:$B,LARGE(IF(Assignments!$G$5:$G$124&lt;&gt;"",ROW(Assignments!$G$5:$G$124)),1)),"")</f>
        <v/>
      </c>
      <c r="D33" s="16">
        <f>IFERROR(INDEX(Assignments!$D:$D,LARGE(IF(Assignments!$G$5:$G$124&lt;&gt;"",ROW(Assignments!$G$5:$G$124)),1)),"")</f>
        <v/>
      </c>
      <c r="E33" s="16">
        <f>IFERROR(INDEX(Assignments!$E:$E,LARGE(IF(Assignments!$G$5:$G$124&lt;&gt;"",ROW(Assignments!$G$5:$G$124)),1)),"")</f>
        <v/>
      </c>
      <c r="F33" s="16">
        <f>IFERROR(INDEX(Assignments!$F:$F,LARGE(IF(Assignments!$G$5:$G$124&lt;&gt;"",ROW(Assignments!$G$5:$G$124)),1)),"")</f>
        <v/>
      </c>
      <c r="G33" s="16">
        <f>IFERROR(INDEX(Assignments!$G:$G,LARGE(IF(Assignments!$G$5:$G$124&lt;&gt;"",ROW(Assignments!$G$5:$G$124)),1)),"")</f>
        <v/>
      </c>
      <c r="H33" s="16">
        <f>IFERROR(INDEX(Assignments!$J:$J,LARGE(IF(Assignments!$G$5:$G$124&lt;&gt;"",ROW(Assignments!$G$5:$G$124)),1)),"")</f>
        <v/>
      </c>
      <c r="I33" s="48">
        <f>IFERROR(INDEX(Assignments!$L:$L,LARGE(IF(Assignments!$G$5:$G$124&lt;&gt;"",ROW(Assignments!$G$5:$G$124)),1)),"")</f>
        <v/>
      </c>
      <c r="J33" s="16">
        <f>IFERROR(INDEX(Assignments!$M:$M,LARGE(IF(Assignments!$G$5:$G$124&lt;&gt;"",ROW(Assignments!$G$5:$G$124)),1)),"")</f>
        <v/>
      </c>
      <c r="K33" s="16">
        <f>IFERROR(INDEX(Assignments!$N:$N,LARGE(IF(Assignments!$G$5:$G$124&lt;&gt;"",ROW(Assignments!$G$5:$G$124)),1)),"")</f>
        <v/>
      </c>
    </row>
    <row r="34">
      <c r="B34" s="22" t="n">
        <v>2</v>
      </c>
      <c r="C34" s="21">
        <f>IFERROR(INDEX(Assignments!$B:$B,LARGE(IF(Assignments!$G$5:$G$124&lt;&gt;"",ROW(Assignments!$G$5:$G$124)),2)),"")</f>
        <v/>
      </c>
      <c r="D34" s="22">
        <f>IFERROR(INDEX(Assignments!$D:$D,LARGE(IF(Assignments!$G$5:$G$124&lt;&gt;"",ROW(Assignments!$G$5:$G$124)),2)),"")</f>
        <v/>
      </c>
      <c r="E34" s="22">
        <f>IFERROR(INDEX(Assignments!$E:$E,LARGE(IF(Assignments!$G$5:$G$124&lt;&gt;"",ROW(Assignments!$G$5:$G$124)),2)),"")</f>
        <v/>
      </c>
      <c r="F34" s="22">
        <f>IFERROR(INDEX(Assignments!$F:$F,LARGE(IF(Assignments!$G$5:$G$124&lt;&gt;"",ROW(Assignments!$G$5:$G$124)),2)),"")</f>
        <v/>
      </c>
      <c r="G34" s="22">
        <f>IFERROR(INDEX(Assignments!$G:$G,LARGE(IF(Assignments!$G$5:$G$124&lt;&gt;"",ROW(Assignments!$G$5:$G$124)),2)),"")</f>
        <v/>
      </c>
      <c r="H34" s="22">
        <f>IFERROR(INDEX(Assignments!$J:$J,LARGE(IF(Assignments!$G$5:$G$124&lt;&gt;"",ROW(Assignments!$G$5:$G$124)),2)),"")</f>
        <v/>
      </c>
      <c r="I34" s="49">
        <f>IFERROR(INDEX(Assignments!$L:$L,LARGE(IF(Assignments!$G$5:$G$124&lt;&gt;"",ROW(Assignments!$G$5:$G$124)),2)),"")</f>
        <v/>
      </c>
      <c r="J34" s="22">
        <f>IFERROR(INDEX(Assignments!$M:$M,LARGE(IF(Assignments!$G$5:$G$124&lt;&gt;"",ROW(Assignments!$G$5:$G$124)),2)),"")</f>
        <v/>
      </c>
      <c r="K34" s="22">
        <f>IFERROR(INDEX(Assignments!$N:$N,LARGE(IF(Assignments!$G$5:$G$124&lt;&gt;"",ROW(Assignments!$G$5:$G$124)),2)),"")</f>
        <v/>
      </c>
    </row>
    <row r="35">
      <c r="B35" s="16" t="n">
        <v>3</v>
      </c>
      <c r="C35" s="15">
        <f>IFERROR(INDEX(Assignments!$B:$B,LARGE(IF(Assignments!$G$5:$G$124&lt;&gt;"",ROW(Assignments!$G$5:$G$124)),3)),"")</f>
        <v/>
      </c>
      <c r="D35" s="16">
        <f>IFERROR(INDEX(Assignments!$D:$D,LARGE(IF(Assignments!$G$5:$G$124&lt;&gt;"",ROW(Assignments!$G$5:$G$124)),3)),"")</f>
        <v/>
      </c>
      <c r="E35" s="16">
        <f>IFERROR(INDEX(Assignments!$E:$E,LARGE(IF(Assignments!$G$5:$G$124&lt;&gt;"",ROW(Assignments!$G$5:$G$124)),3)),"")</f>
        <v/>
      </c>
      <c r="F35" s="16">
        <f>IFERROR(INDEX(Assignments!$F:$F,LARGE(IF(Assignments!$G$5:$G$124&lt;&gt;"",ROW(Assignments!$G$5:$G$124)),3)),"")</f>
        <v/>
      </c>
      <c r="G35" s="16">
        <f>IFERROR(INDEX(Assignments!$G:$G,LARGE(IF(Assignments!$G$5:$G$124&lt;&gt;"",ROW(Assignments!$G$5:$G$124)),3)),"")</f>
        <v/>
      </c>
      <c r="H35" s="16">
        <f>IFERROR(INDEX(Assignments!$J:$J,LARGE(IF(Assignments!$G$5:$G$124&lt;&gt;"",ROW(Assignments!$G$5:$G$124)),3)),"")</f>
        <v/>
      </c>
      <c r="I35" s="48">
        <f>IFERROR(INDEX(Assignments!$L:$L,LARGE(IF(Assignments!$G$5:$G$124&lt;&gt;"",ROW(Assignments!$G$5:$G$124)),3)),"")</f>
        <v/>
      </c>
      <c r="J35" s="16">
        <f>IFERROR(INDEX(Assignments!$M:$M,LARGE(IF(Assignments!$G$5:$G$124&lt;&gt;"",ROW(Assignments!$G$5:$G$124)),3)),"")</f>
        <v/>
      </c>
      <c r="K35" s="16">
        <f>IFERROR(INDEX(Assignments!$N:$N,LARGE(IF(Assignments!$G$5:$G$124&lt;&gt;"",ROW(Assignments!$G$5:$G$124)),3)),"")</f>
        <v/>
      </c>
    </row>
    <row r="36">
      <c r="B36" s="22" t="n">
        <v>4</v>
      </c>
      <c r="C36" s="21">
        <f>IFERROR(INDEX(Assignments!$B:$B,LARGE(IF(Assignments!$G$5:$G$124&lt;&gt;"",ROW(Assignments!$G$5:$G$124)),4)),"")</f>
        <v/>
      </c>
      <c r="D36" s="22">
        <f>IFERROR(INDEX(Assignments!$D:$D,LARGE(IF(Assignments!$G$5:$G$124&lt;&gt;"",ROW(Assignments!$G$5:$G$124)),4)),"")</f>
        <v/>
      </c>
      <c r="E36" s="22">
        <f>IFERROR(INDEX(Assignments!$E:$E,LARGE(IF(Assignments!$G$5:$G$124&lt;&gt;"",ROW(Assignments!$G$5:$G$124)),4)),"")</f>
        <v/>
      </c>
      <c r="F36" s="22">
        <f>IFERROR(INDEX(Assignments!$F:$F,LARGE(IF(Assignments!$G$5:$G$124&lt;&gt;"",ROW(Assignments!$G$5:$G$124)),4)),"")</f>
        <v/>
      </c>
      <c r="G36" s="22">
        <f>IFERROR(INDEX(Assignments!$G:$G,LARGE(IF(Assignments!$G$5:$G$124&lt;&gt;"",ROW(Assignments!$G$5:$G$124)),4)),"")</f>
        <v/>
      </c>
      <c r="H36" s="22">
        <f>IFERROR(INDEX(Assignments!$J:$J,LARGE(IF(Assignments!$G$5:$G$124&lt;&gt;"",ROW(Assignments!$G$5:$G$124)),4)),"")</f>
        <v/>
      </c>
      <c r="I36" s="49">
        <f>IFERROR(INDEX(Assignments!$L:$L,LARGE(IF(Assignments!$G$5:$G$124&lt;&gt;"",ROW(Assignments!$G$5:$G$124)),4)),"")</f>
        <v/>
      </c>
      <c r="J36" s="22">
        <f>IFERROR(INDEX(Assignments!$M:$M,LARGE(IF(Assignments!$G$5:$G$124&lt;&gt;"",ROW(Assignments!$G$5:$G$124)),4)),"")</f>
        <v/>
      </c>
      <c r="K36" s="22">
        <f>IFERROR(INDEX(Assignments!$N:$N,LARGE(IF(Assignments!$G$5:$G$124&lt;&gt;"",ROW(Assignments!$G$5:$G$124)),4)),"")</f>
        <v/>
      </c>
    </row>
    <row r="37">
      <c r="B37" s="16" t="n">
        <v>5</v>
      </c>
      <c r="C37" s="15">
        <f>IFERROR(INDEX(Assignments!$B:$B,LARGE(IF(Assignments!$G$5:$G$124&lt;&gt;"",ROW(Assignments!$G$5:$G$124)),5)),"")</f>
        <v/>
      </c>
      <c r="D37" s="16">
        <f>IFERROR(INDEX(Assignments!$D:$D,LARGE(IF(Assignments!$G$5:$G$124&lt;&gt;"",ROW(Assignments!$G$5:$G$124)),5)),"")</f>
        <v/>
      </c>
      <c r="E37" s="16">
        <f>IFERROR(INDEX(Assignments!$E:$E,LARGE(IF(Assignments!$G$5:$G$124&lt;&gt;"",ROW(Assignments!$G$5:$G$124)),5)),"")</f>
        <v/>
      </c>
      <c r="F37" s="16">
        <f>IFERROR(INDEX(Assignments!$F:$F,LARGE(IF(Assignments!$G$5:$G$124&lt;&gt;"",ROW(Assignments!$G$5:$G$124)),5)),"")</f>
        <v/>
      </c>
      <c r="G37" s="16">
        <f>IFERROR(INDEX(Assignments!$G:$G,LARGE(IF(Assignments!$G$5:$G$124&lt;&gt;"",ROW(Assignments!$G$5:$G$124)),5)),"")</f>
        <v/>
      </c>
      <c r="H37" s="16">
        <f>IFERROR(INDEX(Assignments!$J:$J,LARGE(IF(Assignments!$G$5:$G$124&lt;&gt;"",ROW(Assignments!$G$5:$G$124)),5)),"")</f>
        <v/>
      </c>
      <c r="I37" s="48">
        <f>IFERROR(INDEX(Assignments!$L:$L,LARGE(IF(Assignments!$G$5:$G$124&lt;&gt;"",ROW(Assignments!$G$5:$G$124)),5)),"")</f>
        <v/>
      </c>
      <c r="J37" s="16">
        <f>IFERROR(INDEX(Assignments!$M:$M,LARGE(IF(Assignments!$G$5:$G$124&lt;&gt;"",ROW(Assignments!$G$5:$G$124)),5)),"")</f>
        <v/>
      </c>
      <c r="K37" s="16">
        <f>IFERROR(INDEX(Assignments!$N:$N,LARGE(IF(Assignments!$G$5:$G$124&lt;&gt;"",ROW(Assignments!$G$5:$G$124)),5)),"")</f>
        <v/>
      </c>
    </row>
    <row r="38">
      <c r="B38" s="22" t="n">
        <v>6</v>
      </c>
      <c r="C38" s="21">
        <f>IFERROR(INDEX(Assignments!$B:$B,LARGE(IF(Assignments!$G$5:$G$124&lt;&gt;"",ROW(Assignments!$G$5:$G$124)),6)),"")</f>
        <v/>
      </c>
      <c r="D38" s="22">
        <f>IFERROR(INDEX(Assignments!$D:$D,LARGE(IF(Assignments!$G$5:$G$124&lt;&gt;"",ROW(Assignments!$G$5:$G$124)),6)),"")</f>
        <v/>
      </c>
      <c r="E38" s="22">
        <f>IFERROR(INDEX(Assignments!$E:$E,LARGE(IF(Assignments!$G$5:$G$124&lt;&gt;"",ROW(Assignments!$G$5:$G$124)),6)),"")</f>
        <v/>
      </c>
      <c r="F38" s="22">
        <f>IFERROR(INDEX(Assignments!$F:$F,LARGE(IF(Assignments!$G$5:$G$124&lt;&gt;"",ROW(Assignments!$G$5:$G$124)),6)),"")</f>
        <v/>
      </c>
      <c r="G38" s="22">
        <f>IFERROR(INDEX(Assignments!$G:$G,LARGE(IF(Assignments!$G$5:$G$124&lt;&gt;"",ROW(Assignments!$G$5:$G$124)),6)),"")</f>
        <v/>
      </c>
      <c r="H38" s="22">
        <f>IFERROR(INDEX(Assignments!$J:$J,LARGE(IF(Assignments!$G$5:$G$124&lt;&gt;"",ROW(Assignments!$G$5:$G$124)),6)),"")</f>
        <v/>
      </c>
      <c r="I38" s="49">
        <f>IFERROR(INDEX(Assignments!$L:$L,LARGE(IF(Assignments!$G$5:$G$124&lt;&gt;"",ROW(Assignments!$G$5:$G$124)),6)),"")</f>
        <v/>
      </c>
      <c r="J38" s="22">
        <f>IFERROR(INDEX(Assignments!$M:$M,LARGE(IF(Assignments!$G$5:$G$124&lt;&gt;"",ROW(Assignments!$G$5:$G$124)),6)),"")</f>
        <v/>
      </c>
      <c r="K38" s="22">
        <f>IFERROR(INDEX(Assignments!$N:$N,LARGE(IF(Assignments!$G$5:$G$124&lt;&gt;"",ROW(Assignments!$G$5:$G$124)),6)),"")</f>
        <v/>
      </c>
    </row>
    <row r="39">
      <c r="B39" s="16" t="n">
        <v>7</v>
      </c>
      <c r="C39" s="15">
        <f>IFERROR(INDEX(Assignments!$B:$B,LARGE(IF(Assignments!$G$5:$G$124&lt;&gt;"",ROW(Assignments!$G$5:$G$124)),7)),"")</f>
        <v/>
      </c>
      <c r="D39" s="16">
        <f>IFERROR(INDEX(Assignments!$D:$D,LARGE(IF(Assignments!$G$5:$G$124&lt;&gt;"",ROW(Assignments!$G$5:$G$124)),7)),"")</f>
        <v/>
      </c>
      <c r="E39" s="16">
        <f>IFERROR(INDEX(Assignments!$E:$E,LARGE(IF(Assignments!$G$5:$G$124&lt;&gt;"",ROW(Assignments!$G$5:$G$124)),7)),"")</f>
        <v/>
      </c>
      <c r="F39" s="16">
        <f>IFERROR(INDEX(Assignments!$F:$F,LARGE(IF(Assignments!$G$5:$G$124&lt;&gt;"",ROW(Assignments!$G$5:$G$124)),7)),"")</f>
        <v/>
      </c>
      <c r="G39" s="16">
        <f>IFERROR(INDEX(Assignments!$G:$G,LARGE(IF(Assignments!$G$5:$G$124&lt;&gt;"",ROW(Assignments!$G$5:$G$124)),7)),"")</f>
        <v/>
      </c>
      <c r="H39" s="16">
        <f>IFERROR(INDEX(Assignments!$J:$J,LARGE(IF(Assignments!$G$5:$G$124&lt;&gt;"",ROW(Assignments!$G$5:$G$124)),7)),"")</f>
        <v/>
      </c>
      <c r="I39" s="48">
        <f>IFERROR(INDEX(Assignments!$L:$L,LARGE(IF(Assignments!$G$5:$G$124&lt;&gt;"",ROW(Assignments!$G$5:$G$124)),7)),"")</f>
        <v/>
      </c>
      <c r="J39" s="16">
        <f>IFERROR(INDEX(Assignments!$M:$M,LARGE(IF(Assignments!$G$5:$G$124&lt;&gt;"",ROW(Assignments!$G$5:$G$124)),7)),"")</f>
        <v/>
      </c>
      <c r="K39" s="16">
        <f>IFERROR(INDEX(Assignments!$N:$N,LARGE(IF(Assignments!$G$5:$G$124&lt;&gt;"",ROW(Assignments!$G$5:$G$124)),7)),"")</f>
        <v/>
      </c>
    </row>
    <row r="40">
      <c r="B40" s="22" t="n">
        <v>8</v>
      </c>
      <c r="C40" s="21">
        <f>IFERROR(INDEX(Assignments!$B:$B,LARGE(IF(Assignments!$G$5:$G$124&lt;&gt;"",ROW(Assignments!$G$5:$G$124)),8)),"")</f>
        <v/>
      </c>
      <c r="D40" s="22">
        <f>IFERROR(INDEX(Assignments!$D:$D,LARGE(IF(Assignments!$G$5:$G$124&lt;&gt;"",ROW(Assignments!$G$5:$G$124)),8)),"")</f>
        <v/>
      </c>
      <c r="E40" s="22">
        <f>IFERROR(INDEX(Assignments!$E:$E,LARGE(IF(Assignments!$G$5:$G$124&lt;&gt;"",ROW(Assignments!$G$5:$G$124)),8)),"")</f>
        <v/>
      </c>
      <c r="F40" s="22">
        <f>IFERROR(INDEX(Assignments!$F:$F,LARGE(IF(Assignments!$G$5:$G$124&lt;&gt;"",ROW(Assignments!$G$5:$G$124)),8)),"")</f>
        <v/>
      </c>
      <c r="G40" s="22">
        <f>IFERROR(INDEX(Assignments!$G:$G,LARGE(IF(Assignments!$G$5:$G$124&lt;&gt;"",ROW(Assignments!$G$5:$G$124)),8)),"")</f>
        <v/>
      </c>
      <c r="H40" s="22">
        <f>IFERROR(INDEX(Assignments!$J:$J,LARGE(IF(Assignments!$G$5:$G$124&lt;&gt;"",ROW(Assignments!$G$5:$G$124)),8)),"")</f>
        <v/>
      </c>
      <c r="I40" s="49">
        <f>IFERROR(INDEX(Assignments!$L:$L,LARGE(IF(Assignments!$G$5:$G$124&lt;&gt;"",ROW(Assignments!$G$5:$G$124)),8)),"")</f>
        <v/>
      </c>
      <c r="J40" s="22">
        <f>IFERROR(INDEX(Assignments!$M:$M,LARGE(IF(Assignments!$G$5:$G$124&lt;&gt;"",ROW(Assignments!$G$5:$G$124)),8)),"")</f>
        <v/>
      </c>
      <c r="K40" s="22">
        <f>IFERROR(INDEX(Assignments!$N:$N,LARGE(IF(Assignments!$G$5:$G$124&lt;&gt;"",ROW(Assignments!$G$5:$G$124)),8)),"")</f>
        <v/>
      </c>
    </row>
    <row r="41">
      <c r="B41" s="16" t="n">
        <v>9</v>
      </c>
      <c r="C41" s="15">
        <f>IFERROR(INDEX(Assignments!$B:$B,LARGE(IF(Assignments!$G$5:$G$124&lt;&gt;"",ROW(Assignments!$G$5:$G$124)),9)),"")</f>
        <v/>
      </c>
      <c r="D41" s="16">
        <f>IFERROR(INDEX(Assignments!$D:$D,LARGE(IF(Assignments!$G$5:$G$124&lt;&gt;"",ROW(Assignments!$G$5:$G$124)),9)),"")</f>
        <v/>
      </c>
      <c r="E41" s="16">
        <f>IFERROR(INDEX(Assignments!$E:$E,LARGE(IF(Assignments!$G$5:$G$124&lt;&gt;"",ROW(Assignments!$G$5:$G$124)),9)),"")</f>
        <v/>
      </c>
      <c r="F41" s="16">
        <f>IFERROR(INDEX(Assignments!$F:$F,LARGE(IF(Assignments!$G$5:$G$124&lt;&gt;"",ROW(Assignments!$G$5:$G$124)),9)),"")</f>
        <v/>
      </c>
      <c r="G41" s="16">
        <f>IFERROR(INDEX(Assignments!$G:$G,LARGE(IF(Assignments!$G$5:$G$124&lt;&gt;"",ROW(Assignments!$G$5:$G$124)),9)),"")</f>
        <v/>
      </c>
      <c r="H41" s="16">
        <f>IFERROR(INDEX(Assignments!$J:$J,LARGE(IF(Assignments!$G$5:$G$124&lt;&gt;"",ROW(Assignments!$G$5:$G$124)),9)),"")</f>
        <v/>
      </c>
      <c r="I41" s="48">
        <f>IFERROR(INDEX(Assignments!$L:$L,LARGE(IF(Assignments!$G$5:$G$124&lt;&gt;"",ROW(Assignments!$G$5:$G$124)),9)),"")</f>
        <v/>
      </c>
      <c r="J41" s="16">
        <f>IFERROR(INDEX(Assignments!$M:$M,LARGE(IF(Assignments!$G$5:$G$124&lt;&gt;"",ROW(Assignments!$G$5:$G$124)),9)),"")</f>
        <v/>
      </c>
      <c r="K41" s="16">
        <f>IFERROR(INDEX(Assignments!$N:$N,LARGE(IF(Assignments!$G$5:$G$124&lt;&gt;"",ROW(Assignments!$G$5:$G$124)),9)),"")</f>
        <v/>
      </c>
    </row>
    <row r="42">
      <c r="B42" s="22" t="n">
        <v>10</v>
      </c>
      <c r="C42" s="21">
        <f>IFERROR(INDEX(Assignments!$B:$B,LARGE(IF(Assignments!$G$5:$G$124&lt;&gt;"",ROW(Assignments!$G$5:$G$124)),10)),"")</f>
        <v/>
      </c>
      <c r="D42" s="22">
        <f>IFERROR(INDEX(Assignments!$D:$D,LARGE(IF(Assignments!$G$5:$G$124&lt;&gt;"",ROW(Assignments!$G$5:$G$124)),10)),"")</f>
        <v/>
      </c>
      <c r="E42" s="22">
        <f>IFERROR(INDEX(Assignments!$E:$E,LARGE(IF(Assignments!$G$5:$G$124&lt;&gt;"",ROW(Assignments!$G$5:$G$124)),10)),"")</f>
        <v/>
      </c>
      <c r="F42" s="22">
        <f>IFERROR(INDEX(Assignments!$F:$F,LARGE(IF(Assignments!$G$5:$G$124&lt;&gt;"",ROW(Assignments!$G$5:$G$124)),10)),"")</f>
        <v/>
      </c>
      <c r="G42" s="22">
        <f>IFERROR(INDEX(Assignments!$G:$G,LARGE(IF(Assignments!$G$5:$G$124&lt;&gt;"",ROW(Assignments!$G$5:$G$124)),10)),"")</f>
        <v/>
      </c>
      <c r="H42" s="22">
        <f>IFERROR(INDEX(Assignments!$J:$J,LARGE(IF(Assignments!$G$5:$G$124&lt;&gt;"",ROW(Assignments!$G$5:$G$124)),10)),"")</f>
        <v/>
      </c>
      <c r="I42" s="49">
        <f>IFERROR(INDEX(Assignments!$L:$L,LARGE(IF(Assignments!$G$5:$G$124&lt;&gt;"",ROW(Assignments!$G$5:$G$124)),10)),"")</f>
        <v/>
      </c>
      <c r="J42" s="22">
        <f>IFERROR(INDEX(Assignments!$M:$M,LARGE(IF(Assignments!$G$5:$G$124&lt;&gt;"",ROW(Assignments!$G$5:$G$124)),10)),"")</f>
        <v/>
      </c>
      <c r="K42" s="22">
        <f>IFERROR(INDEX(Assignments!$N:$N,LARGE(IF(Assignments!$G$5:$G$124&lt;&gt;"",ROW(Assignments!$G$5:$G$124)),10)),"")</f>
        <v/>
      </c>
    </row>
    <row r="45" ht="22" customHeight="1">
      <c r="B45" s="32" t="inlineStr">
        <is>
          <t>📈  RECENT QUIZZES  (Last 10)</t>
        </is>
      </c>
    </row>
    <row r="46">
      <c r="B46" s="43" t="inlineStr">
        <is>
          <t>#</t>
        </is>
      </c>
      <c r="C46" s="43" t="inlineStr">
        <is>
          <t>Date</t>
        </is>
      </c>
      <c r="D46" s="43" t="inlineStr">
        <is>
          <t>Unit</t>
        </is>
      </c>
      <c r="E46" s="43" t="inlineStr">
        <is>
          <t>Topic</t>
        </is>
      </c>
      <c r="F46" s="43" t="inlineStr">
        <is>
          <t>Type</t>
        </is>
      </c>
      <c r="G46" s="43" t="inlineStr">
        <is>
          <t>Title</t>
        </is>
      </c>
      <c r="H46" s="43" t="inlineStr">
        <is>
          <t>Raw</t>
        </is>
      </c>
      <c r="I46" s="43" t="inlineStr">
        <is>
          <t>%</t>
        </is>
      </c>
      <c r="J46" s="43" t="inlineStr">
        <is>
          <t>Grade</t>
        </is>
      </c>
      <c r="K46" s="43" t="inlineStr">
        <is>
          <t>Time</t>
        </is>
      </c>
    </row>
    <row r="47">
      <c r="B47" s="16" t="n">
        <v>1</v>
      </c>
      <c r="C47" s="15">
        <f>IFERROR(INDEX(Quizzes!$B:$B,LARGE(IF(Quizzes!$F$5:$F$124&lt;&gt;"",ROW(Quizzes!$F$5:$F$124)),1)),"")</f>
        <v/>
      </c>
      <c r="D47" s="16">
        <f>IFERROR(INDEX(Quizzes!$C:$C,LARGE(IF(Quizzes!$F$5:$F$124&lt;&gt;"",ROW(Quizzes!$F$5:$F$124)),1)),"")</f>
        <v/>
      </c>
      <c r="E47" s="16">
        <f>IFERROR(INDEX(Quizzes!$D:$D,LARGE(IF(Quizzes!$F$5:$F$124&lt;&gt;"",ROW(Quizzes!$F$5:$F$124)),1)),"")</f>
        <v/>
      </c>
      <c r="F47" s="16">
        <f>IFERROR(INDEX(Quizzes!$E:$E,LARGE(IF(Quizzes!$F$5:$F$124&lt;&gt;"",ROW(Quizzes!$F$5:$F$124)),1)),"")</f>
        <v/>
      </c>
      <c r="G47" s="16">
        <f>IFERROR(INDEX(Quizzes!$F:$F,LARGE(IF(Quizzes!$F$5:$F$124&lt;&gt;"",ROW(Quizzes!$F$5:$F$124)),1)),"")</f>
        <v/>
      </c>
      <c r="H47" s="16">
        <f>IFERROR(INDEX(Quizzes!$H:$H,LARGE(IF(Quizzes!$F$5:$F$124&lt;&gt;"",ROW(Quizzes!$F$5:$F$124)),1)),"")</f>
        <v/>
      </c>
      <c r="I47" s="48">
        <f>IFERROR(INDEX(Quizzes!$J:$J,LARGE(IF(Quizzes!$F$5:$F$124&lt;&gt;"",ROW(Quizzes!$F$5:$F$124)),1)),"")</f>
        <v/>
      </c>
      <c r="J47" s="16">
        <f>IFERROR(INDEX(Quizzes!$K:$K,LARGE(IF(Quizzes!$F$5:$F$124&lt;&gt;"",ROW(Quizzes!$F$5:$F$124)),1)),"")</f>
        <v/>
      </c>
      <c r="K47" s="16">
        <f>IFERROR(INDEX(Quizzes!$M:$M,LARGE(IF(Quizzes!$F$5:$F$124&lt;&gt;"",ROW(Quizzes!$F$5:$F$124)),1)),"")</f>
        <v/>
      </c>
    </row>
    <row r="48">
      <c r="B48" s="22" t="n">
        <v>2</v>
      </c>
      <c r="C48" s="21">
        <f>IFERROR(INDEX(Quizzes!$B:$B,LARGE(IF(Quizzes!$F$5:$F$124&lt;&gt;"",ROW(Quizzes!$F$5:$F$124)),2)),"")</f>
        <v/>
      </c>
      <c r="D48" s="22">
        <f>IFERROR(INDEX(Quizzes!$C:$C,LARGE(IF(Quizzes!$F$5:$F$124&lt;&gt;"",ROW(Quizzes!$F$5:$F$124)),2)),"")</f>
        <v/>
      </c>
      <c r="E48" s="22">
        <f>IFERROR(INDEX(Quizzes!$D:$D,LARGE(IF(Quizzes!$F$5:$F$124&lt;&gt;"",ROW(Quizzes!$F$5:$F$124)),2)),"")</f>
        <v/>
      </c>
      <c r="F48" s="22">
        <f>IFERROR(INDEX(Quizzes!$E:$E,LARGE(IF(Quizzes!$F$5:$F$124&lt;&gt;"",ROW(Quizzes!$F$5:$F$124)),2)),"")</f>
        <v/>
      </c>
      <c r="G48" s="22">
        <f>IFERROR(INDEX(Quizzes!$F:$F,LARGE(IF(Quizzes!$F$5:$F$124&lt;&gt;"",ROW(Quizzes!$F$5:$F$124)),2)),"")</f>
        <v/>
      </c>
      <c r="H48" s="22">
        <f>IFERROR(INDEX(Quizzes!$H:$H,LARGE(IF(Quizzes!$F$5:$F$124&lt;&gt;"",ROW(Quizzes!$F$5:$F$124)),2)),"")</f>
        <v/>
      </c>
      <c r="I48" s="49">
        <f>IFERROR(INDEX(Quizzes!$J:$J,LARGE(IF(Quizzes!$F$5:$F$124&lt;&gt;"",ROW(Quizzes!$F$5:$F$124)),2)),"")</f>
        <v/>
      </c>
      <c r="J48" s="22">
        <f>IFERROR(INDEX(Quizzes!$K:$K,LARGE(IF(Quizzes!$F$5:$F$124&lt;&gt;"",ROW(Quizzes!$F$5:$F$124)),2)),"")</f>
        <v/>
      </c>
      <c r="K48" s="22">
        <f>IFERROR(INDEX(Quizzes!$M:$M,LARGE(IF(Quizzes!$F$5:$F$124&lt;&gt;"",ROW(Quizzes!$F$5:$F$124)),2)),"")</f>
        <v/>
      </c>
    </row>
    <row r="49">
      <c r="B49" s="16" t="n">
        <v>3</v>
      </c>
      <c r="C49" s="15">
        <f>IFERROR(INDEX(Quizzes!$B:$B,LARGE(IF(Quizzes!$F$5:$F$124&lt;&gt;"",ROW(Quizzes!$F$5:$F$124)),3)),"")</f>
        <v/>
      </c>
      <c r="D49" s="16">
        <f>IFERROR(INDEX(Quizzes!$C:$C,LARGE(IF(Quizzes!$F$5:$F$124&lt;&gt;"",ROW(Quizzes!$F$5:$F$124)),3)),"")</f>
        <v/>
      </c>
      <c r="E49" s="16">
        <f>IFERROR(INDEX(Quizzes!$D:$D,LARGE(IF(Quizzes!$F$5:$F$124&lt;&gt;"",ROW(Quizzes!$F$5:$F$124)),3)),"")</f>
        <v/>
      </c>
      <c r="F49" s="16">
        <f>IFERROR(INDEX(Quizzes!$E:$E,LARGE(IF(Quizzes!$F$5:$F$124&lt;&gt;"",ROW(Quizzes!$F$5:$F$124)),3)),"")</f>
        <v/>
      </c>
      <c r="G49" s="16">
        <f>IFERROR(INDEX(Quizzes!$F:$F,LARGE(IF(Quizzes!$F$5:$F$124&lt;&gt;"",ROW(Quizzes!$F$5:$F$124)),3)),"")</f>
        <v/>
      </c>
      <c r="H49" s="16">
        <f>IFERROR(INDEX(Quizzes!$H:$H,LARGE(IF(Quizzes!$F$5:$F$124&lt;&gt;"",ROW(Quizzes!$F$5:$F$124)),3)),"")</f>
        <v/>
      </c>
      <c r="I49" s="48">
        <f>IFERROR(INDEX(Quizzes!$J:$J,LARGE(IF(Quizzes!$F$5:$F$124&lt;&gt;"",ROW(Quizzes!$F$5:$F$124)),3)),"")</f>
        <v/>
      </c>
      <c r="J49" s="16">
        <f>IFERROR(INDEX(Quizzes!$K:$K,LARGE(IF(Quizzes!$F$5:$F$124&lt;&gt;"",ROW(Quizzes!$F$5:$F$124)),3)),"")</f>
        <v/>
      </c>
      <c r="K49" s="16">
        <f>IFERROR(INDEX(Quizzes!$M:$M,LARGE(IF(Quizzes!$F$5:$F$124&lt;&gt;"",ROW(Quizzes!$F$5:$F$124)),3)),"")</f>
        <v/>
      </c>
    </row>
    <row r="50">
      <c r="B50" s="22" t="n">
        <v>4</v>
      </c>
      <c r="C50" s="21">
        <f>IFERROR(INDEX(Quizzes!$B:$B,LARGE(IF(Quizzes!$F$5:$F$124&lt;&gt;"",ROW(Quizzes!$F$5:$F$124)),4)),"")</f>
        <v/>
      </c>
      <c r="D50" s="22">
        <f>IFERROR(INDEX(Quizzes!$C:$C,LARGE(IF(Quizzes!$F$5:$F$124&lt;&gt;"",ROW(Quizzes!$F$5:$F$124)),4)),"")</f>
        <v/>
      </c>
      <c r="E50" s="22">
        <f>IFERROR(INDEX(Quizzes!$D:$D,LARGE(IF(Quizzes!$F$5:$F$124&lt;&gt;"",ROW(Quizzes!$F$5:$F$124)),4)),"")</f>
        <v/>
      </c>
      <c r="F50" s="22">
        <f>IFERROR(INDEX(Quizzes!$E:$E,LARGE(IF(Quizzes!$F$5:$F$124&lt;&gt;"",ROW(Quizzes!$F$5:$F$124)),4)),"")</f>
        <v/>
      </c>
      <c r="G50" s="22">
        <f>IFERROR(INDEX(Quizzes!$F:$F,LARGE(IF(Quizzes!$F$5:$F$124&lt;&gt;"",ROW(Quizzes!$F$5:$F$124)),4)),"")</f>
        <v/>
      </c>
      <c r="H50" s="22">
        <f>IFERROR(INDEX(Quizzes!$H:$H,LARGE(IF(Quizzes!$F$5:$F$124&lt;&gt;"",ROW(Quizzes!$F$5:$F$124)),4)),"")</f>
        <v/>
      </c>
      <c r="I50" s="49">
        <f>IFERROR(INDEX(Quizzes!$J:$J,LARGE(IF(Quizzes!$F$5:$F$124&lt;&gt;"",ROW(Quizzes!$F$5:$F$124)),4)),"")</f>
        <v/>
      </c>
      <c r="J50" s="22">
        <f>IFERROR(INDEX(Quizzes!$K:$K,LARGE(IF(Quizzes!$F$5:$F$124&lt;&gt;"",ROW(Quizzes!$F$5:$F$124)),4)),"")</f>
        <v/>
      </c>
      <c r="K50" s="22">
        <f>IFERROR(INDEX(Quizzes!$M:$M,LARGE(IF(Quizzes!$F$5:$F$124&lt;&gt;"",ROW(Quizzes!$F$5:$F$124)),4)),"")</f>
        <v/>
      </c>
    </row>
    <row r="51">
      <c r="B51" s="16" t="n">
        <v>5</v>
      </c>
      <c r="C51" s="15">
        <f>IFERROR(INDEX(Quizzes!$B:$B,LARGE(IF(Quizzes!$F$5:$F$124&lt;&gt;"",ROW(Quizzes!$F$5:$F$124)),5)),"")</f>
        <v/>
      </c>
      <c r="D51" s="16">
        <f>IFERROR(INDEX(Quizzes!$C:$C,LARGE(IF(Quizzes!$F$5:$F$124&lt;&gt;"",ROW(Quizzes!$F$5:$F$124)),5)),"")</f>
        <v/>
      </c>
      <c r="E51" s="16">
        <f>IFERROR(INDEX(Quizzes!$D:$D,LARGE(IF(Quizzes!$F$5:$F$124&lt;&gt;"",ROW(Quizzes!$F$5:$F$124)),5)),"")</f>
        <v/>
      </c>
      <c r="F51" s="16">
        <f>IFERROR(INDEX(Quizzes!$E:$E,LARGE(IF(Quizzes!$F$5:$F$124&lt;&gt;"",ROW(Quizzes!$F$5:$F$124)),5)),"")</f>
        <v/>
      </c>
      <c r="G51" s="16">
        <f>IFERROR(INDEX(Quizzes!$F:$F,LARGE(IF(Quizzes!$F$5:$F$124&lt;&gt;"",ROW(Quizzes!$F$5:$F$124)),5)),"")</f>
        <v/>
      </c>
      <c r="H51" s="16">
        <f>IFERROR(INDEX(Quizzes!$H:$H,LARGE(IF(Quizzes!$F$5:$F$124&lt;&gt;"",ROW(Quizzes!$F$5:$F$124)),5)),"")</f>
        <v/>
      </c>
      <c r="I51" s="48">
        <f>IFERROR(INDEX(Quizzes!$J:$J,LARGE(IF(Quizzes!$F$5:$F$124&lt;&gt;"",ROW(Quizzes!$F$5:$F$124)),5)),"")</f>
        <v/>
      </c>
      <c r="J51" s="16">
        <f>IFERROR(INDEX(Quizzes!$K:$K,LARGE(IF(Quizzes!$F$5:$F$124&lt;&gt;"",ROW(Quizzes!$F$5:$F$124)),5)),"")</f>
        <v/>
      </c>
      <c r="K51" s="16">
        <f>IFERROR(INDEX(Quizzes!$M:$M,LARGE(IF(Quizzes!$F$5:$F$124&lt;&gt;"",ROW(Quizzes!$F$5:$F$124)),5)),"")</f>
        <v/>
      </c>
    </row>
    <row r="52">
      <c r="B52" s="22" t="n">
        <v>6</v>
      </c>
      <c r="C52" s="21">
        <f>IFERROR(INDEX(Quizzes!$B:$B,LARGE(IF(Quizzes!$F$5:$F$124&lt;&gt;"",ROW(Quizzes!$F$5:$F$124)),6)),"")</f>
        <v/>
      </c>
      <c r="D52" s="22">
        <f>IFERROR(INDEX(Quizzes!$C:$C,LARGE(IF(Quizzes!$F$5:$F$124&lt;&gt;"",ROW(Quizzes!$F$5:$F$124)),6)),"")</f>
        <v/>
      </c>
      <c r="E52" s="22">
        <f>IFERROR(INDEX(Quizzes!$D:$D,LARGE(IF(Quizzes!$F$5:$F$124&lt;&gt;"",ROW(Quizzes!$F$5:$F$124)),6)),"")</f>
        <v/>
      </c>
      <c r="F52" s="22">
        <f>IFERROR(INDEX(Quizzes!$E:$E,LARGE(IF(Quizzes!$F$5:$F$124&lt;&gt;"",ROW(Quizzes!$F$5:$F$124)),6)),"")</f>
        <v/>
      </c>
      <c r="G52" s="22">
        <f>IFERROR(INDEX(Quizzes!$F:$F,LARGE(IF(Quizzes!$F$5:$F$124&lt;&gt;"",ROW(Quizzes!$F$5:$F$124)),6)),"")</f>
        <v/>
      </c>
      <c r="H52" s="22">
        <f>IFERROR(INDEX(Quizzes!$H:$H,LARGE(IF(Quizzes!$F$5:$F$124&lt;&gt;"",ROW(Quizzes!$F$5:$F$124)),6)),"")</f>
        <v/>
      </c>
      <c r="I52" s="49">
        <f>IFERROR(INDEX(Quizzes!$J:$J,LARGE(IF(Quizzes!$F$5:$F$124&lt;&gt;"",ROW(Quizzes!$F$5:$F$124)),6)),"")</f>
        <v/>
      </c>
      <c r="J52" s="22">
        <f>IFERROR(INDEX(Quizzes!$K:$K,LARGE(IF(Quizzes!$F$5:$F$124&lt;&gt;"",ROW(Quizzes!$F$5:$F$124)),6)),"")</f>
        <v/>
      </c>
      <c r="K52" s="22">
        <f>IFERROR(INDEX(Quizzes!$M:$M,LARGE(IF(Quizzes!$F$5:$F$124&lt;&gt;"",ROW(Quizzes!$F$5:$F$124)),6)),"")</f>
        <v/>
      </c>
    </row>
    <row r="53">
      <c r="B53" s="16" t="n">
        <v>7</v>
      </c>
      <c r="C53" s="15">
        <f>IFERROR(INDEX(Quizzes!$B:$B,LARGE(IF(Quizzes!$F$5:$F$124&lt;&gt;"",ROW(Quizzes!$F$5:$F$124)),7)),"")</f>
        <v/>
      </c>
      <c r="D53" s="16">
        <f>IFERROR(INDEX(Quizzes!$C:$C,LARGE(IF(Quizzes!$F$5:$F$124&lt;&gt;"",ROW(Quizzes!$F$5:$F$124)),7)),"")</f>
        <v/>
      </c>
      <c r="E53" s="16">
        <f>IFERROR(INDEX(Quizzes!$D:$D,LARGE(IF(Quizzes!$F$5:$F$124&lt;&gt;"",ROW(Quizzes!$F$5:$F$124)),7)),"")</f>
        <v/>
      </c>
      <c r="F53" s="16">
        <f>IFERROR(INDEX(Quizzes!$E:$E,LARGE(IF(Quizzes!$F$5:$F$124&lt;&gt;"",ROW(Quizzes!$F$5:$F$124)),7)),"")</f>
        <v/>
      </c>
      <c r="G53" s="16">
        <f>IFERROR(INDEX(Quizzes!$F:$F,LARGE(IF(Quizzes!$F$5:$F$124&lt;&gt;"",ROW(Quizzes!$F$5:$F$124)),7)),"")</f>
        <v/>
      </c>
      <c r="H53" s="16">
        <f>IFERROR(INDEX(Quizzes!$H:$H,LARGE(IF(Quizzes!$F$5:$F$124&lt;&gt;"",ROW(Quizzes!$F$5:$F$124)),7)),"")</f>
        <v/>
      </c>
      <c r="I53" s="48">
        <f>IFERROR(INDEX(Quizzes!$J:$J,LARGE(IF(Quizzes!$F$5:$F$124&lt;&gt;"",ROW(Quizzes!$F$5:$F$124)),7)),"")</f>
        <v/>
      </c>
      <c r="J53" s="16">
        <f>IFERROR(INDEX(Quizzes!$K:$K,LARGE(IF(Quizzes!$F$5:$F$124&lt;&gt;"",ROW(Quizzes!$F$5:$F$124)),7)),"")</f>
        <v/>
      </c>
      <c r="K53" s="16">
        <f>IFERROR(INDEX(Quizzes!$M:$M,LARGE(IF(Quizzes!$F$5:$F$124&lt;&gt;"",ROW(Quizzes!$F$5:$F$124)),7)),"")</f>
        <v/>
      </c>
    </row>
    <row r="54">
      <c r="B54" s="22" t="n">
        <v>8</v>
      </c>
      <c r="C54" s="21">
        <f>IFERROR(INDEX(Quizzes!$B:$B,LARGE(IF(Quizzes!$F$5:$F$124&lt;&gt;"",ROW(Quizzes!$F$5:$F$124)),8)),"")</f>
        <v/>
      </c>
      <c r="D54" s="22">
        <f>IFERROR(INDEX(Quizzes!$C:$C,LARGE(IF(Quizzes!$F$5:$F$124&lt;&gt;"",ROW(Quizzes!$F$5:$F$124)),8)),"")</f>
        <v/>
      </c>
      <c r="E54" s="22">
        <f>IFERROR(INDEX(Quizzes!$D:$D,LARGE(IF(Quizzes!$F$5:$F$124&lt;&gt;"",ROW(Quizzes!$F$5:$F$124)),8)),"")</f>
        <v/>
      </c>
      <c r="F54" s="22">
        <f>IFERROR(INDEX(Quizzes!$E:$E,LARGE(IF(Quizzes!$F$5:$F$124&lt;&gt;"",ROW(Quizzes!$F$5:$F$124)),8)),"")</f>
        <v/>
      </c>
      <c r="G54" s="22">
        <f>IFERROR(INDEX(Quizzes!$F:$F,LARGE(IF(Quizzes!$F$5:$F$124&lt;&gt;"",ROW(Quizzes!$F$5:$F$124)),8)),"")</f>
        <v/>
      </c>
      <c r="H54" s="22">
        <f>IFERROR(INDEX(Quizzes!$H:$H,LARGE(IF(Quizzes!$F$5:$F$124&lt;&gt;"",ROW(Quizzes!$F$5:$F$124)),8)),"")</f>
        <v/>
      </c>
      <c r="I54" s="49">
        <f>IFERROR(INDEX(Quizzes!$J:$J,LARGE(IF(Quizzes!$F$5:$F$124&lt;&gt;"",ROW(Quizzes!$F$5:$F$124)),8)),"")</f>
        <v/>
      </c>
      <c r="J54" s="22">
        <f>IFERROR(INDEX(Quizzes!$K:$K,LARGE(IF(Quizzes!$F$5:$F$124&lt;&gt;"",ROW(Quizzes!$F$5:$F$124)),8)),"")</f>
        <v/>
      </c>
      <c r="K54" s="22">
        <f>IFERROR(INDEX(Quizzes!$M:$M,LARGE(IF(Quizzes!$F$5:$F$124&lt;&gt;"",ROW(Quizzes!$F$5:$F$124)),8)),"")</f>
        <v/>
      </c>
    </row>
    <row r="55">
      <c r="B55" s="16" t="n">
        <v>9</v>
      </c>
      <c r="C55" s="15">
        <f>IFERROR(INDEX(Quizzes!$B:$B,LARGE(IF(Quizzes!$F$5:$F$124&lt;&gt;"",ROW(Quizzes!$F$5:$F$124)),9)),"")</f>
        <v/>
      </c>
      <c r="D55" s="16">
        <f>IFERROR(INDEX(Quizzes!$C:$C,LARGE(IF(Quizzes!$F$5:$F$124&lt;&gt;"",ROW(Quizzes!$F$5:$F$124)),9)),"")</f>
        <v/>
      </c>
      <c r="E55" s="16">
        <f>IFERROR(INDEX(Quizzes!$D:$D,LARGE(IF(Quizzes!$F$5:$F$124&lt;&gt;"",ROW(Quizzes!$F$5:$F$124)),9)),"")</f>
        <v/>
      </c>
      <c r="F55" s="16">
        <f>IFERROR(INDEX(Quizzes!$E:$E,LARGE(IF(Quizzes!$F$5:$F$124&lt;&gt;"",ROW(Quizzes!$F$5:$F$124)),9)),"")</f>
        <v/>
      </c>
      <c r="G55" s="16">
        <f>IFERROR(INDEX(Quizzes!$F:$F,LARGE(IF(Quizzes!$F$5:$F$124&lt;&gt;"",ROW(Quizzes!$F$5:$F$124)),9)),"")</f>
        <v/>
      </c>
      <c r="H55" s="16">
        <f>IFERROR(INDEX(Quizzes!$H:$H,LARGE(IF(Quizzes!$F$5:$F$124&lt;&gt;"",ROW(Quizzes!$F$5:$F$124)),9)),"")</f>
        <v/>
      </c>
      <c r="I55" s="48">
        <f>IFERROR(INDEX(Quizzes!$J:$J,LARGE(IF(Quizzes!$F$5:$F$124&lt;&gt;"",ROW(Quizzes!$F$5:$F$124)),9)),"")</f>
        <v/>
      </c>
      <c r="J55" s="16">
        <f>IFERROR(INDEX(Quizzes!$K:$K,LARGE(IF(Quizzes!$F$5:$F$124&lt;&gt;"",ROW(Quizzes!$F$5:$F$124)),9)),"")</f>
        <v/>
      </c>
      <c r="K55" s="16">
        <f>IFERROR(INDEX(Quizzes!$M:$M,LARGE(IF(Quizzes!$F$5:$F$124&lt;&gt;"",ROW(Quizzes!$F$5:$F$124)),9)),"")</f>
        <v/>
      </c>
    </row>
    <row r="56">
      <c r="B56" s="22" t="n">
        <v>10</v>
      </c>
      <c r="C56" s="21">
        <f>IFERROR(INDEX(Quizzes!$B:$B,LARGE(IF(Quizzes!$F$5:$F$124&lt;&gt;"",ROW(Quizzes!$F$5:$F$124)),10)),"")</f>
        <v/>
      </c>
      <c r="D56" s="22">
        <f>IFERROR(INDEX(Quizzes!$C:$C,LARGE(IF(Quizzes!$F$5:$F$124&lt;&gt;"",ROW(Quizzes!$F$5:$F$124)),10)),"")</f>
        <v/>
      </c>
      <c r="E56" s="22">
        <f>IFERROR(INDEX(Quizzes!$D:$D,LARGE(IF(Quizzes!$F$5:$F$124&lt;&gt;"",ROW(Quizzes!$F$5:$F$124)),10)),"")</f>
        <v/>
      </c>
      <c r="F56" s="22">
        <f>IFERROR(INDEX(Quizzes!$E:$E,LARGE(IF(Quizzes!$F$5:$F$124&lt;&gt;"",ROW(Quizzes!$F$5:$F$124)),10)),"")</f>
        <v/>
      </c>
      <c r="G56" s="22">
        <f>IFERROR(INDEX(Quizzes!$F:$F,LARGE(IF(Quizzes!$F$5:$F$124&lt;&gt;"",ROW(Quizzes!$F$5:$F$124)),10)),"")</f>
        <v/>
      </c>
      <c r="H56" s="22">
        <f>IFERROR(INDEX(Quizzes!$H:$H,LARGE(IF(Quizzes!$F$5:$F$124&lt;&gt;"",ROW(Quizzes!$F$5:$F$124)),10)),"")</f>
        <v/>
      </c>
      <c r="I56" s="49">
        <f>IFERROR(INDEX(Quizzes!$J:$J,LARGE(IF(Quizzes!$F$5:$F$124&lt;&gt;"",ROW(Quizzes!$F$5:$F$124)),10)),"")</f>
        <v/>
      </c>
      <c r="J56" s="22">
        <f>IFERROR(INDEX(Quizzes!$K:$K,LARGE(IF(Quizzes!$F$5:$F$124&lt;&gt;"",ROW(Quizzes!$F$5:$F$124)),10)),"")</f>
        <v/>
      </c>
      <c r="K56" s="22">
        <f>IFERROR(INDEX(Quizzes!$M:$M,LARGE(IF(Quizzes!$F$5:$F$124&lt;&gt;"",ROW(Quizzes!$F$5:$F$124)),10)),"")</f>
        <v/>
      </c>
    </row>
  </sheetData>
  <mergeCells count="51">
    <mergeCell ref="F24:K24"/>
    <mergeCell ref="F11:G11"/>
    <mergeCell ref="B16:C16"/>
    <mergeCell ref="F20:K20"/>
    <mergeCell ref="F16:G16"/>
    <mergeCell ref="F26:K26"/>
    <mergeCell ref="B6:K6"/>
    <mergeCell ref="H9:I9"/>
    <mergeCell ref="J9:K9"/>
    <mergeCell ref="B12:C12"/>
    <mergeCell ref="B45:K45"/>
    <mergeCell ref="F12:G12"/>
    <mergeCell ref="F23:K23"/>
    <mergeCell ref="B11:C11"/>
    <mergeCell ref="F22:K22"/>
    <mergeCell ref="D11:E11"/>
    <mergeCell ref="F28:K28"/>
    <mergeCell ref="D4:F4"/>
    <mergeCell ref="F27:K27"/>
    <mergeCell ref="I4:K4"/>
    <mergeCell ref="B17:C17"/>
    <mergeCell ref="B8:C8"/>
    <mergeCell ref="D17:E17"/>
    <mergeCell ref="F17:G17"/>
    <mergeCell ref="B3:K3"/>
    <mergeCell ref="F8:G8"/>
    <mergeCell ref="H17:I17"/>
    <mergeCell ref="H11:I11"/>
    <mergeCell ref="D16:E16"/>
    <mergeCell ref="B31:K31"/>
    <mergeCell ref="J11:K11"/>
    <mergeCell ref="H16:I16"/>
    <mergeCell ref="J16:K16"/>
    <mergeCell ref="B2:H2"/>
    <mergeCell ref="B9:C9"/>
    <mergeCell ref="D9:E9"/>
    <mergeCell ref="F9:G9"/>
    <mergeCell ref="D12:E12"/>
    <mergeCell ref="D8:E8"/>
    <mergeCell ref="G4:H4"/>
    <mergeCell ref="H12:I12"/>
    <mergeCell ref="F25:K25"/>
    <mergeCell ref="I2:K2"/>
    <mergeCell ref="J12:K12"/>
    <mergeCell ref="B14:K14"/>
    <mergeCell ref="B19:K19"/>
    <mergeCell ref="F21:K21"/>
    <mergeCell ref="H8:I8"/>
    <mergeCell ref="J8:K8"/>
    <mergeCell ref="B4:C4"/>
    <mergeCell ref="J17:K17"/>
  </mergeCells>
  <conditionalFormatting sqref="F21:K28">
    <cfRule type="dataBar" priority="1">
      <dataBar showValue="1">
        <cfvo type="min"/>
        <cfvo type="max"/>
        <color rgb="002E5090"/>
      </dataBar>
    </cfRule>
  </conditionalFormatting>
  <conditionalFormatting sqref="I33:I42">
    <cfRule type="colorScale" priority="2">
      <colorScale>
        <cfvo type="num" val="0"/>
        <cfvo type="num" val="0.6"/>
        <cfvo type="num" val="1"/>
        <color rgb="00F8696B"/>
        <color rgb="00FFEB84"/>
        <color rgb="0063BE7B"/>
      </colorScale>
    </cfRule>
  </conditionalFormatting>
  <conditionalFormatting sqref="K33:K42">
    <cfRule type="expression" priority="3" dxfId="0">
      <formula>ISNUMBER(SEARCH("Missing",K33))</formula>
    </cfRule>
    <cfRule type="expression" priority="4" dxfId="1">
      <formula>ISNUMBER(SEARCH("Late",K33))</formula>
    </cfRule>
    <cfRule type="expression" priority="5" dxfId="2">
      <formula>ISNUMBER(SEARCH("On Time",K33))</formula>
    </cfRule>
  </conditionalFormatting>
  <conditionalFormatting sqref="I47:I56">
    <cfRule type="colorScale" priority="6">
      <colorScale>
        <cfvo type="num" val="0"/>
        <cfvo type="num" val="0.6"/>
        <cfvo type="num" val="1"/>
        <color rgb="00F8696B"/>
        <color rgb="00FFEB84"/>
        <color rgb="0063BE7B"/>
      </colorScale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A6B3A"/>
    <outlinePr summaryBelow="1" summaryRight="1"/>
    <pageSetUpPr/>
  </sheetPr>
  <dimension ref="A1:P124"/>
  <sheetViews>
    <sheetView showGridLines="0" workbookViewId="0">
      <pane xSplit="1" ySplit="4" topLeftCell="B5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6" customWidth="1" min="1" max="1"/>
    <col width="13" customWidth="1" min="2" max="2"/>
    <col width="13" customWidth="1" min="3" max="3"/>
    <col width="10" customWidth="1" min="4" max="4"/>
    <col width="38" customWidth="1" min="5" max="5"/>
    <col width="16" customWidth="1" min="6" max="6"/>
    <col width="32" customWidth="1" min="7" max="7"/>
    <col width="13" customWidth="1" min="8" max="8"/>
    <col width="13" customWidth="1" min="9" max="9"/>
    <col width="9" customWidth="1" min="10" max="10"/>
    <col width="9" customWidth="1" min="11" max="11"/>
    <col width="9" customWidth="1" min="12" max="12"/>
    <col width="9" customWidth="1" min="13" max="13"/>
    <col width="19" customWidth="1" min="14" max="14"/>
    <col width="9" customWidth="1" min="15" max="15"/>
    <col width="38" customWidth="1" min="16" max="16"/>
  </cols>
  <sheetData>
    <row r="1" ht="32" customHeight="1">
      <c r="A1" s="11" t="inlineStr">
        <is>
          <t>📝   ASSIGNMENT TRACKER — Log Every Assignment Below</t>
        </is>
      </c>
    </row>
    <row r="2" ht="20" customHeight="1">
      <c r="A2" s="12" t="inlineStr">
        <is>
          <t>🟢 Dropdowns (click to choose)  ·  🔵 Type here  ·  ⬜ Auto-calculated (don't touch)  ·  Enter Raw &amp; Max marks → % / Grade / Status auto-update</t>
        </is>
      </c>
    </row>
    <row r="4" ht="38" customHeight="1">
      <c r="A4" s="13" t="inlineStr">
        <is>
          <t>#</t>
        </is>
      </c>
      <c r="B4" s="13" t="inlineStr">
        <is>
          <t>📅 Date
Assigned</t>
        </is>
      </c>
      <c r="C4" s="13" t="inlineStr">
        <is>
          <t>⏰ Due
Date</t>
        </is>
      </c>
      <c r="D4" s="13" t="inlineStr">
        <is>
          <t>📚 Unit
▼</t>
        </is>
      </c>
      <c r="E4" s="13" t="inlineStr">
        <is>
          <t>📂 Topic
▼</t>
        </is>
      </c>
      <c r="F4" s="13" t="inlineStr">
        <is>
          <t>📄 Assignment
Type ▼</t>
        </is>
      </c>
      <c r="G4" s="13" t="inlineStr">
        <is>
          <t>📝 Title / Description</t>
        </is>
      </c>
      <c r="H4" s="13" t="inlineStr">
        <is>
          <t>⚡ Difficulty
▼</t>
        </is>
      </c>
      <c r="I4" s="13" t="inlineStr">
        <is>
          <t>📬 Submit
Date</t>
        </is>
      </c>
      <c r="J4" s="13" t="inlineStr">
        <is>
          <t>✏️ Raw
Mark</t>
        </is>
      </c>
      <c r="K4" s="13" t="inlineStr">
        <is>
          <t>🎯 Max
Mark</t>
        </is>
      </c>
      <c r="L4" s="13" t="inlineStr">
        <is>
          <t>📊 %
auto</t>
        </is>
      </c>
      <c r="M4" s="13" t="inlineStr">
        <is>
          <t>🏆 Grade
auto</t>
        </is>
      </c>
      <c r="N4" s="13" t="inlineStr">
        <is>
          <t>🚦 Status
auto</t>
        </is>
      </c>
      <c r="O4" s="13" t="inlineStr">
        <is>
          <t>⏱ Days
Late</t>
        </is>
      </c>
      <c r="P4" s="13" t="inlineStr">
        <is>
          <t>🗒️ Teacher Notes / Feedback</t>
        </is>
      </c>
    </row>
    <row r="5">
      <c r="A5" s="14">
        <f>IF(G5="","",COUNTA($G$5:G5))</f>
        <v/>
      </c>
      <c r="B5" s="15">
        <f>TODAY()-7</f>
        <v/>
      </c>
      <c r="C5" s="15">
        <f>TODAY()-2</f>
        <v/>
      </c>
      <c r="D5" s="16" t="inlineStr">
        <is>
          <t>Unit 1</t>
        </is>
      </c>
      <c r="E5" s="16" t="inlineStr">
        <is>
          <t>Prime Factors, HCF &amp; LCM</t>
        </is>
      </c>
      <c r="F5" s="16" t="inlineStr">
        <is>
          <t>Homework</t>
        </is>
      </c>
      <c r="G5" s="8" t="inlineStr">
        <is>
          <t>HW 3.2 — HCF/LCM mixed problems</t>
        </is>
      </c>
      <c r="H5" s="16" t="inlineStr">
        <is>
          <t>🟡 Medium</t>
        </is>
      </c>
      <c r="I5" s="15">
        <f>TODAY()-2</f>
        <v/>
      </c>
      <c r="J5" s="17" t="n">
        <v>18</v>
      </c>
      <c r="K5" s="17" t="n">
        <v>25</v>
      </c>
      <c r="L5" s="18">
        <f>IFERROR(IF(OR(J5="",K5=""),"",J5/K5),"")</f>
        <v/>
      </c>
      <c r="M5" s="14">
        <f>IFERROR(IF(L5="","",IF(L5&gt;=0.9,"A*",IF(L5&gt;=0.8,"A",IF(L5&gt;=0.7,"B",IF(L5&gt;=0.6,"C",IF(L5&gt;=0.5,"D",IF(L5&gt;=0.4,"E",IF(L5&gt;=0.3,"F","U")))))))),"")</f>
        <v/>
      </c>
      <c r="N5" s="14">
        <f>IF(B5="","",IF(I5="",IF(AND(C5&lt;&gt;"",C5&lt;TODAY()),"❌ Missing","📝 Pending"),IF(AND(C5&lt;&gt;"",I5&gt;C5),"⏰ Late","✅ On Time")))</f>
        <v/>
      </c>
      <c r="O5" s="19">
        <f>IFERROR(IF(OR(I5="",C5=""),"",MAX(0,I5-C5)),"")</f>
        <v/>
      </c>
      <c r="P5" s="8" t="inlineStr">
        <is>
          <t>Good on HCF; slipped on LCM word problems.</t>
        </is>
      </c>
    </row>
    <row r="6">
      <c r="A6" s="20">
        <f>IF(G6="","",COUNTA($G$5:G6))</f>
        <v/>
      </c>
      <c r="B6" s="21" t="n"/>
      <c r="C6" s="21" t="n"/>
      <c r="D6" s="22" t="n"/>
      <c r="E6" s="22" t="n"/>
      <c r="F6" s="22" t="n"/>
      <c r="G6" s="10" t="n"/>
      <c r="H6" s="22" t="n"/>
      <c r="I6" s="21" t="n"/>
      <c r="J6" s="23" t="n"/>
      <c r="K6" s="23" t="n"/>
      <c r="L6" s="24">
        <f>IFERROR(IF(OR(J6="",K6=""),"",J6/K6),"")</f>
        <v/>
      </c>
      <c r="M6" s="20">
        <f>IFERROR(IF(L6="","",IF(L6&gt;=0.9,"A*",IF(L6&gt;=0.8,"A",IF(L6&gt;=0.7,"B",IF(L6&gt;=0.6,"C",IF(L6&gt;=0.5,"D",IF(L6&gt;=0.4,"E",IF(L6&gt;=0.3,"F","U")))))))),"")</f>
        <v/>
      </c>
      <c r="N6" s="20">
        <f>IF(B6="","",IF(I6="",IF(AND(C6&lt;&gt;"",C6&lt;TODAY()),"❌ Missing","📝 Pending"),IF(AND(C6&lt;&gt;"",I6&gt;C6),"⏰ Late","✅ On Time")))</f>
        <v/>
      </c>
      <c r="O6" s="25">
        <f>IFERROR(IF(OR(I6="",C6=""),"",MAX(0,I6-C6)),"")</f>
        <v/>
      </c>
      <c r="P6" s="10" t="n"/>
    </row>
    <row r="7">
      <c r="A7" s="14">
        <f>IF(G7="","",COUNTA($G$5:G7))</f>
        <v/>
      </c>
      <c r="B7" s="15" t="n"/>
      <c r="C7" s="15" t="n"/>
      <c r="D7" s="16" t="n"/>
      <c r="E7" s="16" t="n"/>
      <c r="F7" s="16" t="n"/>
      <c r="G7" s="8" t="n"/>
      <c r="H7" s="16" t="n"/>
      <c r="I7" s="15" t="n"/>
      <c r="J7" s="17" t="n"/>
      <c r="K7" s="17" t="n"/>
      <c r="L7" s="18">
        <f>IFERROR(IF(OR(J7="",K7=""),"",J7/K7),"")</f>
        <v/>
      </c>
      <c r="M7" s="14">
        <f>IFERROR(IF(L7="","",IF(L7&gt;=0.9,"A*",IF(L7&gt;=0.8,"A",IF(L7&gt;=0.7,"B",IF(L7&gt;=0.6,"C",IF(L7&gt;=0.5,"D",IF(L7&gt;=0.4,"E",IF(L7&gt;=0.3,"F","U")))))))),"")</f>
        <v/>
      </c>
      <c r="N7" s="14">
        <f>IF(B7="","",IF(I7="",IF(AND(C7&lt;&gt;"",C7&lt;TODAY()),"❌ Missing","📝 Pending"),IF(AND(C7&lt;&gt;"",I7&gt;C7),"⏰ Late","✅ On Time")))</f>
        <v/>
      </c>
      <c r="O7" s="19">
        <f>IFERROR(IF(OR(I7="",C7=""),"",MAX(0,I7-C7)),"")</f>
        <v/>
      </c>
      <c r="P7" s="8" t="n"/>
    </row>
    <row r="8">
      <c r="A8" s="20">
        <f>IF(G8="","",COUNTA($G$5:G8))</f>
        <v/>
      </c>
      <c r="B8" s="21" t="n"/>
      <c r="C8" s="21" t="n"/>
      <c r="D8" s="22" t="n"/>
      <c r="E8" s="22" t="n"/>
      <c r="F8" s="22" t="n"/>
      <c r="G8" s="10" t="n"/>
      <c r="H8" s="22" t="n"/>
      <c r="I8" s="21" t="n"/>
      <c r="J8" s="23" t="n"/>
      <c r="K8" s="23" t="n"/>
      <c r="L8" s="24">
        <f>IFERROR(IF(OR(J8="",K8=""),"",J8/K8),"")</f>
        <v/>
      </c>
      <c r="M8" s="20">
        <f>IFERROR(IF(L8="","",IF(L8&gt;=0.9,"A*",IF(L8&gt;=0.8,"A",IF(L8&gt;=0.7,"B",IF(L8&gt;=0.6,"C",IF(L8&gt;=0.5,"D",IF(L8&gt;=0.4,"E",IF(L8&gt;=0.3,"F","U")))))))),"")</f>
        <v/>
      </c>
      <c r="N8" s="20">
        <f>IF(B8="","",IF(I8="",IF(AND(C8&lt;&gt;"",C8&lt;TODAY()),"❌ Missing","📝 Pending"),IF(AND(C8&lt;&gt;"",I8&gt;C8),"⏰ Late","✅ On Time")))</f>
        <v/>
      </c>
      <c r="O8" s="25">
        <f>IFERROR(IF(OR(I8="",C8=""),"",MAX(0,I8-C8)),"")</f>
        <v/>
      </c>
      <c r="P8" s="10" t="n"/>
    </row>
    <row r="9">
      <c r="A9" s="14">
        <f>IF(G9="","",COUNTA($G$5:G9))</f>
        <v/>
      </c>
      <c r="B9" s="15" t="n"/>
      <c r="C9" s="15" t="n"/>
      <c r="D9" s="16" t="n"/>
      <c r="E9" s="16" t="n"/>
      <c r="F9" s="16" t="n"/>
      <c r="G9" s="8" t="n"/>
      <c r="H9" s="16" t="n"/>
      <c r="I9" s="15" t="n"/>
      <c r="J9" s="17" t="n"/>
      <c r="K9" s="17" t="n"/>
      <c r="L9" s="18">
        <f>IFERROR(IF(OR(J9="",K9=""),"",J9/K9),"")</f>
        <v/>
      </c>
      <c r="M9" s="14">
        <f>IFERROR(IF(L9="","",IF(L9&gt;=0.9,"A*",IF(L9&gt;=0.8,"A",IF(L9&gt;=0.7,"B",IF(L9&gt;=0.6,"C",IF(L9&gt;=0.5,"D",IF(L9&gt;=0.4,"E",IF(L9&gt;=0.3,"F","U")))))))),"")</f>
        <v/>
      </c>
      <c r="N9" s="14">
        <f>IF(B9="","",IF(I9="",IF(AND(C9&lt;&gt;"",C9&lt;TODAY()),"❌ Missing","📝 Pending"),IF(AND(C9&lt;&gt;"",I9&gt;C9),"⏰ Late","✅ On Time")))</f>
        <v/>
      </c>
      <c r="O9" s="19">
        <f>IFERROR(IF(OR(I9="",C9=""),"",MAX(0,I9-C9)),"")</f>
        <v/>
      </c>
      <c r="P9" s="8" t="n"/>
    </row>
    <row r="10">
      <c r="A10" s="20">
        <f>IF(G10="","",COUNTA($G$5:G10))</f>
        <v/>
      </c>
      <c r="B10" s="21" t="n"/>
      <c r="C10" s="21" t="n"/>
      <c r="D10" s="22" t="n"/>
      <c r="E10" s="22" t="n"/>
      <c r="F10" s="22" t="n"/>
      <c r="G10" s="10" t="n"/>
      <c r="H10" s="22" t="n"/>
      <c r="I10" s="21" t="n"/>
      <c r="J10" s="23" t="n"/>
      <c r="K10" s="23" t="n"/>
      <c r="L10" s="24">
        <f>IFERROR(IF(OR(J10="",K10=""),"",J10/K10),"")</f>
        <v/>
      </c>
      <c r="M10" s="20">
        <f>IFERROR(IF(L10="","",IF(L10&gt;=0.9,"A*",IF(L10&gt;=0.8,"A",IF(L10&gt;=0.7,"B",IF(L10&gt;=0.6,"C",IF(L10&gt;=0.5,"D",IF(L10&gt;=0.4,"E",IF(L10&gt;=0.3,"F","U")))))))),"")</f>
        <v/>
      </c>
      <c r="N10" s="20">
        <f>IF(B10="","",IF(I10="",IF(AND(C10&lt;&gt;"",C10&lt;TODAY()),"❌ Missing","📝 Pending"),IF(AND(C10&lt;&gt;"",I10&gt;C10),"⏰ Late","✅ On Time")))</f>
        <v/>
      </c>
      <c r="O10" s="25">
        <f>IFERROR(IF(OR(I10="",C10=""),"",MAX(0,I10-C10)),"")</f>
        <v/>
      </c>
      <c r="P10" s="10" t="n"/>
    </row>
    <row r="11">
      <c r="A11" s="14">
        <f>IF(G11="","",COUNTA($G$5:G11))</f>
        <v/>
      </c>
      <c r="B11" s="15" t="n"/>
      <c r="C11" s="15" t="n"/>
      <c r="D11" s="16" t="n"/>
      <c r="E11" s="16" t="n"/>
      <c r="F11" s="16" t="n"/>
      <c r="G11" s="8" t="n"/>
      <c r="H11" s="16" t="n"/>
      <c r="I11" s="15" t="n"/>
      <c r="J11" s="17" t="n"/>
      <c r="K11" s="17" t="n"/>
      <c r="L11" s="18">
        <f>IFERROR(IF(OR(J11="",K11=""),"",J11/K11),"")</f>
        <v/>
      </c>
      <c r="M11" s="14">
        <f>IFERROR(IF(L11="","",IF(L11&gt;=0.9,"A*",IF(L11&gt;=0.8,"A",IF(L11&gt;=0.7,"B",IF(L11&gt;=0.6,"C",IF(L11&gt;=0.5,"D",IF(L11&gt;=0.4,"E",IF(L11&gt;=0.3,"F","U")))))))),"")</f>
        <v/>
      </c>
      <c r="N11" s="14">
        <f>IF(B11="","",IF(I11="",IF(AND(C11&lt;&gt;"",C11&lt;TODAY()),"❌ Missing","📝 Pending"),IF(AND(C11&lt;&gt;"",I11&gt;C11),"⏰ Late","✅ On Time")))</f>
        <v/>
      </c>
      <c r="O11" s="19">
        <f>IFERROR(IF(OR(I11="",C11=""),"",MAX(0,I11-C11)),"")</f>
        <v/>
      </c>
      <c r="P11" s="8" t="n"/>
    </row>
    <row r="12">
      <c r="A12" s="20">
        <f>IF(G12="","",COUNTA($G$5:G12))</f>
        <v/>
      </c>
      <c r="B12" s="21" t="n"/>
      <c r="C12" s="21" t="n"/>
      <c r="D12" s="22" t="n"/>
      <c r="E12" s="22" t="n"/>
      <c r="F12" s="22" t="n"/>
      <c r="G12" s="10" t="n"/>
      <c r="H12" s="22" t="n"/>
      <c r="I12" s="21" t="n"/>
      <c r="J12" s="23" t="n"/>
      <c r="K12" s="23" t="n"/>
      <c r="L12" s="24">
        <f>IFERROR(IF(OR(J12="",K12=""),"",J12/K12),"")</f>
        <v/>
      </c>
      <c r="M12" s="20">
        <f>IFERROR(IF(L12="","",IF(L12&gt;=0.9,"A*",IF(L12&gt;=0.8,"A",IF(L12&gt;=0.7,"B",IF(L12&gt;=0.6,"C",IF(L12&gt;=0.5,"D",IF(L12&gt;=0.4,"E",IF(L12&gt;=0.3,"F","U")))))))),"")</f>
        <v/>
      </c>
      <c r="N12" s="20">
        <f>IF(B12="","",IF(I12="",IF(AND(C12&lt;&gt;"",C12&lt;TODAY()),"❌ Missing","📝 Pending"),IF(AND(C12&lt;&gt;"",I12&gt;C12),"⏰ Late","✅ On Time")))</f>
        <v/>
      </c>
      <c r="O12" s="25">
        <f>IFERROR(IF(OR(I12="",C12=""),"",MAX(0,I12-C12)),"")</f>
        <v/>
      </c>
      <c r="P12" s="10" t="n"/>
    </row>
    <row r="13">
      <c r="A13" s="14">
        <f>IF(G13="","",COUNTA($G$5:G13))</f>
        <v/>
      </c>
      <c r="B13" s="15" t="n"/>
      <c r="C13" s="15" t="n"/>
      <c r="D13" s="16" t="n"/>
      <c r="E13" s="16" t="n"/>
      <c r="F13" s="16" t="n"/>
      <c r="G13" s="8" t="n"/>
      <c r="H13" s="16" t="n"/>
      <c r="I13" s="15" t="n"/>
      <c r="J13" s="17" t="n"/>
      <c r="K13" s="17" t="n"/>
      <c r="L13" s="18">
        <f>IFERROR(IF(OR(J13="",K13=""),"",J13/K13),"")</f>
        <v/>
      </c>
      <c r="M13" s="14">
        <f>IFERROR(IF(L13="","",IF(L13&gt;=0.9,"A*",IF(L13&gt;=0.8,"A",IF(L13&gt;=0.7,"B",IF(L13&gt;=0.6,"C",IF(L13&gt;=0.5,"D",IF(L13&gt;=0.4,"E",IF(L13&gt;=0.3,"F","U")))))))),"")</f>
        <v/>
      </c>
      <c r="N13" s="14">
        <f>IF(B13="","",IF(I13="",IF(AND(C13&lt;&gt;"",C13&lt;TODAY()),"❌ Missing","📝 Pending"),IF(AND(C13&lt;&gt;"",I13&gt;C13),"⏰ Late","✅ On Time")))</f>
        <v/>
      </c>
      <c r="O13" s="19">
        <f>IFERROR(IF(OR(I13="",C13=""),"",MAX(0,I13-C13)),"")</f>
        <v/>
      </c>
      <c r="P13" s="8" t="n"/>
    </row>
    <row r="14">
      <c r="A14" s="20">
        <f>IF(G14="","",COUNTA($G$5:G14))</f>
        <v/>
      </c>
      <c r="B14" s="21" t="n"/>
      <c r="C14" s="21" t="n"/>
      <c r="D14" s="22" t="n"/>
      <c r="E14" s="22" t="n"/>
      <c r="F14" s="22" t="n"/>
      <c r="G14" s="10" t="n"/>
      <c r="H14" s="22" t="n"/>
      <c r="I14" s="21" t="n"/>
      <c r="J14" s="23" t="n"/>
      <c r="K14" s="23" t="n"/>
      <c r="L14" s="24">
        <f>IFERROR(IF(OR(J14="",K14=""),"",J14/K14),"")</f>
        <v/>
      </c>
      <c r="M14" s="20">
        <f>IFERROR(IF(L14="","",IF(L14&gt;=0.9,"A*",IF(L14&gt;=0.8,"A",IF(L14&gt;=0.7,"B",IF(L14&gt;=0.6,"C",IF(L14&gt;=0.5,"D",IF(L14&gt;=0.4,"E",IF(L14&gt;=0.3,"F","U")))))))),"")</f>
        <v/>
      </c>
      <c r="N14" s="20">
        <f>IF(B14="","",IF(I14="",IF(AND(C14&lt;&gt;"",C14&lt;TODAY()),"❌ Missing","📝 Pending"),IF(AND(C14&lt;&gt;"",I14&gt;C14),"⏰ Late","✅ On Time")))</f>
        <v/>
      </c>
      <c r="O14" s="25">
        <f>IFERROR(IF(OR(I14="",C14=""),"",MAX(0,I14-C14)),"")</f>
        <v/>
      </c>
      <c r="P14" s="10" t="n"/>
    </row>
    <row r="15">
      <c r="A15" s="14">
        <f>IF(G15="","",COUNTA($G$5:G15))</f>
        <v/>
      </c>
      <c r="B15" s="15" t="n"/>
      <c r="C15" s="15" t="n"/>
      <c r="D15" s="16" t="n"/>
      <c r="E15" s="16" t="n"/>
      <c r="F15" s="16" t="n"/>
      <c r="G15" s="8" t="n"/>
      <c r="H15" s="16" t="n"/>
      <c r="I15" s="15" t="n"/>
      <c r="J15" s="17" t="n"/>
      <c r="K15" s="17" t="n"/>
      <c r="L15" s="18">
        <f>IFERROR(IF(OR(J15="",K15=""),"",J15/K15),"")</f>
        <v/>
      </c>
      <c r="M15" s="14">
        <f>IFERROR(IF(L15="","",IF(L15&gt;=0.9,"A*",IF(L15&gt;=0.8,"A",IF(L15&gt;=0.7,"B",IF(L15&gt;=0.6,"C",IF(L15&gt;=0.5,"D",IF(L15&gt;=0.4,"E",IF(L15&gt;=0.3,"F","U")))))))),"")</f>
        <v/>
      </c>
      <c r="N15" s="14">
        <f>IF(B15="","",IF(I15="",IF(AND(C15&lt;&gt;"",C15&lt;TODAY()),"❌ Missing","📝 Pending"),IF(AND(C15&lt;&gt;"",I15&gt;C15),"⏰ Late","✅ On Time")))</f>
        <v/>
      </c>
      <c r="O15" s="19">
        <f>IFERROR(IF(OR(I15="",C15=""),"",MAX(0,I15-C15)),"")</f>
        <v/>
      </c>
      <c r="P15" s="8" t="n"/>
    </row>
    <row r="16">
      <c r="A16" s="20">
        <f>IF(G16="","",COUNTA($G$5:G16))</f>
        <v/>
      </c>
      <c r="B16" s="21" t="n"/>
      <c r="C16" s="21" t="n"/>
      <c r="D16" s="22" t="n"/>
      <c r="E16" s="22" t="n"/>
      <c r="F16" s="22" t="n"/>
      <c r="G16" s="10" t="n"/>
      <c r="H16" s="22" t="n"/>
      <c r="I16" s="21" t="n"/>
      <c r="J16" s="23" t="n"/>
      <c r="K16" s="23" t="n"/>
      <c r="L16" s="24">
        <f>IFERROR(IF(OR(J16="",K16=""),"",J16/K16),"")</f>
        <v/>
      </c>
      <c r="M16" s="20">
        <f>IFERROR(IF(L16="","",IF(L16&gt;=0.9,"A*",IF(L16&gt;=0.8,"A",IF(L16&gt;=0.7,"B",IF(L16&gt;=0.6,"C",IF(L16&gt;=0.5,"D",IF(L16&gt;=0.4,"E",IF(L16&gt;=0.3,"F","U")))))))),"")</f>
        <v/>
      </c>
      <c r="N16" s="20">
        <f>IF(B16="","",IF(I16="",IF(AND(C16&lt;&gt;"",C16&lt;TODAY()),"❌ Missing","📝 Pending"),IF(AND(C16&lt;&gt;"",I16&gt;C16),"⏰ Late","✅ On Time")))</f>
        <v/>
      </c>
      <c r="O16" s="25">
        <f>IFERROR(IF(OR(I16="",C16=""),"",MAX(0,I16-C16)),"")</f>
        <v/>
      </c>
      <c r="P16" s="10" t="n"/>
    </row>
    <row r="17">
      <c r="A17" s="14">
        <f>IF(G17="","",COUNTA($G$5:G17))</f>
        <v/>
      </c>
      <c r="B17" s="15" t="n"/>
      <c r="C17" s="15" t="n"/>
      <c r="D17" s="16" t="n"/>
      <c r="E17" s="16" t="n"/>
      <c r="F17" s="16" t="n"/>
      <c r="G17" s="8" t="n"/>
      <c r="H17" s="16" t="n"/>
      <c r="I17" s="15" t="n"/>
      <c r="J17" s="17" t="n"/>
      <c r="K17" s="17" t="n"/>
      <c r="L17" s="18">
        <f>IFERROR(IF(OR(J17="",K17=""),"",J17/K17),"")</f>
        <v/>
      </c>
      <c r="M17" s="14">
        <f>IFERROR(IF(L17="","",IF(L17&gt;=0.9,"A*",IF(L17&gt;=0.8,"A",IF(L17&gt;=0.7,"B",IF(L17&gt;=0.6,"C",IF(L17&gt;=0.5,"D",IF(L17&gt;=0.4,"E",IF(L17&gt;=0.3,"F","U")))))))),"")</f>
        <v/>
      </c>
      <c r="N17" s="14">
        <f>IF(B17="","",IF(I17="",IF(AND(C17&lt;&gt;"",C17&lt;TODAY()),"❌ Missing","📝 Pending"),IF(AND(C17&lt;&gt;"",I17&gt;C17),"⏰ Late","✅ On Time")))</f>
        <v/>
      </c>
      <c r="O17" s="19">
        <f>IFERROR(IF(OR(I17="",C17=""),"",MAX(0,I17-C17)),"")</f>
        <v/>
      </c>
      <c r="P17" s="8" t="n"/>
    </row>
    <row r="18">
      <c r="A18" s="20">
        <f>IF(G18="","",COUNTA($G$5:G18))</f>
        <v/>
      </c>
      <c r="B18" s="21" t="n"/>
      <c r="C18" s="21" t="n"/>
      <c r="D18" s="22" t="n"/>
      <c r="E18" s="22" t="n"/>
      <c r="F18" s="22" t="n"/>
      <c r="G18" s="10" t="n"/>
      <c r="H18" s="22" t="n"/>
      <c r="I18" s="21" t="n"/>
      <c r="J18" s="23" t="n"/>
      <c r="K18" s="23" t="n"/>
      <c r="L18" s="24">
        <f>IFERROR(IF(OR(J18="",K18=""),"",J18/K18),"")</f>
        <v/>
      </c>
      <c r="M18" s="20">
        <f>IFERROR(IF(L18="","",IF(L18&gt;=0.9,"A*",IF(L18&gt;=0.8,"A",IF(L18&gt;=0.7,"B",IF(L18&gt;=0.6,"C",IF(L18&gt;=0.5,"D",IF(L18&gt;=0.4,"E",IF(L18&gt;=0.3,"F","U")))))))),"")</f>
        <v/>
      </c>
      <c r="N18" s="20">
        <f>IF(B18="","",IF(I18="",IF(AND(C18&lt;&gt;"",C18&lt;TODAY()),"❌ Missing","📝 Pending"),IF(AND(C18&lt;&gt;"",I18&gt;C18),"⏰ Late","✅ On Time")))</f>
        <v/>
      </c>
      <c r="O18" s="25">
        <f>IFERROR(IF(OR(I18="",C18=""),"",MAX(0,I18-C18)),"")</f>
        <v/>
      </c>
      <c r="P18" s="10" t="n"/>
    </row>
    <row r="19">
      <c r="A19" s="14">
        <f>IF(G19="","",COUNTA($G$5:G19))</f>
        <v/>
      </c>
      <c r="B19" s="15" t="n"/>
      <c r="C19" s="15" t="n"/>
      <c r="D19" s="16" t="n"/>
      <c r="E19" s="16" t="n"/>
      <c r="F19" s="16" t="n"/>
      <c r="G19" s="8" t="n"/>
      <c r="H19" s="16" t="n"/>
      <c r="I19" s="15" t="n"/>
      <c r="J19" s="17" t="n"/>
      <c r="K19" s="17" t="n"/>
      <c r="L19" s="18">
        <f>IFERROR(IF(OR(J19="",K19=""),"",J19/K19),"")</f>
        <v/>
      </c>
      <c r="M19" s="14">
        <f>IFERROR(IF(L19="","",IF(L19&gt;=0.9,"A*",IF(L19&gt;=0.8,"A",IF(L19&gt;=0.7,"B",IF(L19&gt;=0.6,"C",IF(L19&gt;=0.5,"D",IF(L19&gt;=0.4,"E",IF(L19&gt;=0.3,"F","U")))))))),"")</f>
        <v/>
      </c>
      <c r="N19" s="14">
        <f>IF(B19="","",IF(I19="",IF(AND(C19&lt;&gt;"",C19&lt;TODAY()),"❌ Missing","📝 Pending"),IF(AND(C19&lt;&gt;"",I19&gt;C19),"⏰ Late","✅ On Time")))</f>
        <v/>
      </c>
      <c r="O19" s="19">
        <f>IFERROR(IF(OR(I19="",C19=""),"",MAX(0,I19-C19)),"")</f>
        <v/>
      </c>
      <c r="P19" s="8" t="n"/>
    </row>
    <row r="20">
      <c r="A20" s="20">
        <f>IF(G20="","",COUNTA($G$5:G20))</f>
        <v/>
      </c>
      <c r="B20" s="21" t="n"/>
      <c r="C20" s="21" t="n"/>
      <c r="D20" s="22" t="n"/>
      <c r="E20" s="22" t="n"/>
      <c r="F20" s="22" t="n"/>
      <c r="G20" s="10" t="n"/>
      <c r="H20" s="22" t="n"/>
      <c r="I20" s="21" t="n"/>
      <c r="J20" s="23" t="n"/>
      <c r="K20" s="23" t="n"/>
      <c r="L20" s="24">
        <f>IFERROR(IF(OR(J20="",K20=""),"",J20/K20),"")</f>
        <v/>
      </c>
      <c r="M20" s="20">
        <f>IFERROR(IF(L20="","",IF(L20&gt;=0.9,"A*",IF(L20&gt;=0.8,"A",IF(L20&gt;=0.7,"B",IF(L20&gt;=0.6,"C",IF(L20&gt;=0.5,"D",IF(L20&gt;=0.4,"E",IF(L20&gt;=0.3,"F","U")))))))),"")</f>
        <v/>
      </c>
      <c r="N20" s="20">
        <f>IF(B20="","",IF(I20="",IF(AND(C20&lt;&gt;"",C20&lt;TODAY()),"❌ Missing","📝 Pending"),IF(AND(C20&lt;&gt;"",I20&gt;C20),"⏰ Late","✅ On Time")))</f>
        <v/>
      </c>
      <c r="O20" s="25">
        <f>IFERROR(IF(OR(I20="",C20=""),"",MAX(0,I20-C20)),"")</f>
        <v/>
      </c>
      <c r="P20" s="10" t="n"/>
    </row>
    <row r="21">
      <c r="A21" s="14">
        <f>IF(G21="","",COUNTA($G$5:G21))</f>
        <v/>
      </c>
      <c r="B21" s="15" t="n"/>
      <c r="C21" s="15" t="n"/>
      <c r="D21" s="16" t="n"/>
      <c r="E21" s="16" t="n"/>
      <c r="F21" s="16" t="n"/>
      <c r="G21" s="8" t="n"/>
      <c r="H21" s="16" t="n"/>
      <c r="I21" s="15" t="n"/>
      <c r="J21" s="17" t="n"/>
      <c r="K21" s="17" t="n"/>
      <c r="L21" s="18">
        <f>IFERROR(IF(OR(J21="",K21=""),"",J21/K21),"")</f>
        <v/>
      </c>
      <c r="M21" s="14">
        <f>IFERROR(IF(L21="","",IF(L21&gt;=0.9,"A*",IF(L21&gt;=0.8,"A",IF(L21&gt;=0.7,"B",IF(L21&gt;=0.6,"C",IF(L21&gt;=0.5,"D",IF(L21&gt;=0.4,"E",IF(L21&gt;=0.3,"F","U")))))))),"")</f>
        <v/>
      </c>
      <c r="N21" s="14">
        <f>IF(B21="","",IF(I21="",IF(AND(C21&lt;&gt;"",C21&lt;TODAY()),"❌ Missing","📝 Pending"),IF(AND(C21&lt;&gt;"",I21&gt;C21),"⏰ Late","✅ On Time")))</f>
        <v/>
      </c>
      <c r="O21" s="19">
        <f>IFERROR(IF(OR(I21="",C21=""),"",MAX(0,I21-C21)),"")</f>
        <v/>
      </c>
      <c r="P21" s="8" t="n"/>
    </row>
    <row r="22">
      <c r="A22" s="20">
        <f>IF(G22="","",COUNTA($G$5:G22))</f>
        <v/>
      </c>
      <c r="B22" s="21" t="n"/>
      <c r="C22" s="21" t="n"/>
      <c r="D22" s="22" t="n"/>
      <c r="E22" s="22" t="n"/>
      <c r="F22" s="22" t="n"/>
      <c r="G22" s="10" t="n"/>
      <c r="H22" s="22" t="n"/>
      <c r="I22" s="21" t="n"/>
      <c r="J22" s="23" t="n"/>
      <c r="K22" s="23" t="n"/>
      <c r="L22" s="24">
        <f>IFERROR(IF(OR(J22="",K22=""),"",J22/K22),"")</f>
        <v/>
      </c>
      <c r="M22" s="20">
        <f>IFERROR(IF(L22="","",IF(L22&gt;=0.9,"A*",IF(L22&gt;=0.8,"A",IF(L22&gt;=0.7,"B",IF(L22&gt;=0.6,"C",IF(L22&gt;=0.5,"D",IF(L22&gt;=0.4,"E",IF(L22&gt;=0.3,"F","U")))))))),"")</f>
        <v/>
      </c>
      <c r="N22" s="20">
        <f>IF(B22="","",IF(I22="",IF(AND(C22&lt;&gt;"",C22&lt;TODAY()),"❌ Missing","📝 Pending"),IF(AND(C22&lt;&gt;"",I22&gt;C22),"⏰ Late","✅ On Time")))</f>
        <v/>
      </c>
      <c r="O22" s="25">
        <f>IFERROR(IF(OR(I22="",C22=""),"",MAX(0,I22-C22)),"")</f>
        <v/>
      </c>
      <c r="P22" s="10" t="n"/>
    </row>
    <row r="23">
      <c r="A23" s="14">
        <f>IF(G23="","",COUNTA($G$5:G23))</f>
        <v/>
      </c>
      <c r="B23" s="15" t="n"/>
      <c r="C23" s="15" t="n"/>
      <c r="D23" s="16" t="n"/>
      <c r="E23" s="16" t="n"/>
      <c r="F23" s="16" t="n"/>
      <c r="G23" s="8" t="n"/>
      <c r="H23" s="16" t="n"/>
      <c r="I23" s="15" t="n"/>
      <c r="J23" s="17" t="n"/>
      <c r="K23" s="17" t="n"/>
      <c r="L23" s="18">
        <f>IFERROR(IF(OR(J23="",K23=""),"",J23/K23),"")</f>
        <v/>
      </c>
      <c r="M23" s="14">
        <f>IFERROR(IF(L23="","",IF(L23&gt;=0.9,"A*",IF(L23&gt;=0.8,"A",IF(L23&gt;=0.7,"B",IF(L23&gt;=0.6,"C",IF(L23&gt;=0.5,"D",IF(L23&gt;=0.4,"E",IF(L23&gt;=0.3,"F","U")))))))),"")</f>
        <v/>
      </c>
      <c r="N23" s="14">
        <f>IF(B23="","",IF(I23="",IF(AND(C23&lt;&gt;"",C23&lt;TODAY()),"❌ Missing","📝 Pending"),IF(AND(C23&lt;&gt;"",I23&gt;C23),"⏰ Late","✅ On Time")))</f>
        <v/>
      </c>
      <c r="O23" s="19">
        <f>IFERROR(IF(OR(I23="",C23=""),"",MAX(0,I23-C23)),"")</f>
        <v/>
      </c>
      <c r="P23" s="8" t="n"/>
    </row>
    <row r="24">
      <c r="A24" s="20">
        <f>IF(G24="","",COUNTA($G$5:G24))</f>
        <v/>
      </c>
      <c r="B24" s="21" t="n"/>
      <c r="C24" s="21" t="n"/>
      <c r="D24" s="22" t="n"/>
      <c r="E24" s="22" t="n"/>
      <c r="F24" s="22" t="n"/>
      <c r="G24" s="10" t="n"/>
      <c r="H24" s="22" t="n"/>
      <c r="I24" s="21" t="n"/>
      <c r="J24" s="23" t="n"/>
      <c r="K24" s="23" t="n"/>
      <c r="L24" s="24">
        <f>IFERROR(IF(OR(J24="",K24=""),"",J24/K24),"")</f>
        <v/>
      </c>
      <c r="M24" s="20">
        <f>IFERROR(IF(L24="","",IF(L24&gt;=0.9,"A*",IF(L24&gt;=0.8,"A",IF(L24&gt;=0.7,"B",IF(L24&gt;=0.6,"C",IF(L24&gt;=0.5,"D",IF(L24&gt;=0.4,"E",IF(L24&gt;=0.3,"F","U")))))))),"")</f>
        <v/>
      </c>
      <c r="N24" s="20">
        <f>IF(B24="","",IF(I24="",IF(AND(C24&lt;&gt;"",C24&lt;TODAY()),"❌ Missing","📝 Pending"),IF(AND(C24&lt;&gt;"",I24&gt;C24),"⏰ Late","✅ On Time")))</f>
        <v/>
      </c>
      <c r="O24" s="25">
        <f>IFERROR(IF(OR(I24="",C24=""),"",MAX(0,I24-C24)),"")</f>
        <v/>
      </c>
      <c r="P24" s="10" t="n"/>
    </row>
    <row r="25">
      <c r="A25" s="14">
        <f>IF(G25="","",COUNTA($G$5:G25))</f>
        <v/>
      </c>
      <c r="B25" s="15" t="n"/>
      <c r="C25" s="15" t="n"/>
      <c r="D25" s="16" t="n"/>
      <c r="E25" s="16" t="n"/>
      <c r="F25" s="16" t="n"/>
      <c r="G25" s="8" t="n"/>
      <c r="H25" s="16" t="n"/>
      <c r="I25" s="15" t="n"/>
      <c r="J25" s="17" t="n"/>
      <c r="K25" s="17" t="n"/>
      <c r="L25" s="18">
        <f>IFERROR(IF(OR(J25="",K25=""),"",J25/K25),"")</f>
        <v/>
      </c>
      <c r="M25" s="14">
        <f>IFERROR(IF(L25="","",IF(L25&gt;=0.9,"A*",IF(L25&gt;=0.8,"A",IF(L25&gt;=0.7,"B",IF(L25&gt;=0.6,"C",IF(L25&gt;=0.5,"D",IF(L25&gt;=0.4,"E",IF(L25&gt;=0.3,"F","U")))))))),"")</f>
        <v/>
      </c>
      <c r="N25" s="14">
        <f>IF(B25="","",IF(I25="",IF(AND(C25&lt;&gt;"",C25&lt;TODAY()),"❌ Missing","📝 Pending"),IF(AND(C25&lt;&gt;"",I25&gt;C25),"⏰ Late","✅ On Time")))</f>
        <v/>
      </c>
      <c r="O25" s="19">
        <f>IFERROR(IF(OR(I25="",C25=""),"",MAX(0,I25-C25)),"")</f>
        <v/>
      </c>
      <c r="P25" s="8" t="n"/>
    </row>
    <row r="26">
      <c r="A26" s="20">
        <f>IF(G26="","",COUNTA($G$5:G26))</f>
        <v/>
      </c>
      <c r="B26" s="21" t="n"/>
      <c r="C26" s="21" t="n"/>
      <c r="D26" s="22" t="n"/>
      <c r="E26" s="22" t="n"/>
      <c r="F26" s="22" t="n"/>
      <c r="G26" s="10" t="n"/>
      <c r="H26" s="22" t="n"/>
      <c r="I26" s="21" t="n"/>
      <c r="J26" s="23" t="n"/>
      <c r="K26" s="23" t="n"/>
      <c r="L26" s="24">
        <f>IFERROR(IF(OR(J26="",K26=""),"",J26/K26),"")</f>
        <v/>
      </c>
      <c r="M26" s="20">
        <f>IFERROR(IF(L26="","",IF(L26&gt;=0.9,"A*",IF(L26&gt;=0.8,"A",IF(L26&gt;=0.7,"B",IF(L26&gt;=0.6,"C",IF(L26&gt;=0.5,"D",IF(L26&gt;=0.4,"E",IF(L26&gt;=0.3,"F","U")))))))),"")</f>
        <v/>
      </c>
      <c r="N26" s="20">
        <f>IF(B26="","",IF(I26="",IF(AND(C26&lt;&gt;"",C26&lt;TODAY()),"❌ Missing","📝 Pending"),IF(AND(C26&lt;&gt;"",I26&gt;C26),"⏰ Late","✅ On Time")))</f>
        <v/>
      </c>
      <c r="O26" s="25">
        <f>IFERROR(IF(OR(I26="",C26=""),"",MAX(0,I26-C26)),"")</f>
        <v/>
      </c>
      <c r="P26" s="10" t="n"/>
    </row>
    <row r="27">
      <c r="A27" s="14">
        <f>IF(G27="","",COUNTA($G$5:G27))</f>
        <v/>
      </c>
      <c r="B27" s="15" t="n"/>
      <c r="C27" s="15" t="n"/>
      <c r="D27" s="16" t="n"/>
      <c r="E27" s="16" t="n"/>
      <c r="F27" s="16" t="n"/>
      <c r="G27" s="8" t="n"/>
      <c r="H27" s="16" t="n"/>
      <c r="I27" s="15" t="n"/>
      <c r="J27" s="17" t="n"/>
      <c r="K27" s="17" t="n"/>
      <c r="L27" s="18">
        <f>IFERROR(IF(OR(J27="",K27=""),"",J27/K27),"")</f>
        <v/>
      </c>
      <c r="M27" s="14">
        <f>IFERROR(IF(L27="","",IF(L27&gt;=0.9,"A*",IF(L27&gt;=0.8,"A",IF(L27&gt;=0.7,"B",IF(L27&gt;=0.6,"C",IF(L27&gt;=0.5,"D",IF(L27&gt;=0.4,"E",IF(L27&gt;=0.3,"F","U")))))))),"")</f>
        <v/>
      </c>
      <c r="N27" s="14">
        <f>IF(B27="","",IF(I27="",IF(AND(C27&lt;&gt;"",C27&lt;TODAY()),"❌ Missing","📝 Pending"),IF(AND(C27&lt;&gt;"",I27&gt;C27),"⏰ Late","✅ On Time")))</f>
        <v/>
      </c>
      <c r="O27" s="19">
        <f>IFERROR(IF(OR(I27="",C27=""),"",MAX(0,I27-C27)),"")</f>
        <v/>
      </c>
      <c r="P27" s="8" t="n"/>
    </row>
    <row r="28">
      <c r="A28" s="20">
        <f>IF(G28="","",COUNTA($G$5:G28))</f>
        <v/>
      </c>
      <c r="B28" s="21" t="n"/>
      <c r="C28" s="21" t="n"/>
      <c r="D28" s="22" t="n"/>
      <c r="E28" s="22" t="n"/>
      <c r="F28" s="22" t="n"/>
      <c r="G28" s="10" t="n"/>
      <c r="H28" s="22" t="n"/>
      <c r="I28" s="21" t="n"/>
      <c r="J28" s="23" t="n"/>
      <c r="K28" s="23" t="n"/>
      <c r="L28" s="24">
        <f>IFERROR(IF(OR(J28="",K28=""),"",J28/K28),"")</f>
        <v/>
      </c>
      <c r="M28" s="20">
        <f>IFERROR(IF(L28="","",IF(L28&gt;=0.9,"A*",IF(L28&gt;=0.8,"A",IF(L28&gt;=0.7,"B",IF(L28&gt;=0.6,"C",IF(L28&gt;=0.5,"D",IF(L28&gt;=0.4,"E",IF(L28&gt;=0.3,"F","U")))))))),"")</f>
        <v/>
      </c>
      <c r="N28" s="20">
        <f>IF(B28="","",IF(I28="",IF(AND(C28&lt;&gt;"",C28&lt;TODAY()),"❌ Missing","📝 Pending"),IF(AND(C28&lt;&gt;"",I28&gt;C28),"⏰ Late","✅ On Time")))</f>
        <v/>
      </c>
      <c r="O28" s="25">
        <f>IFERROR(IF(OR(I28="",C28=""),"",MAX(0,I28-C28)),"")</f>
        <v/>
      </c>
      <c r="P28" s="10" t="n"/>
    </row>
    <row r="29">
      <c r="A29" s="14">
        <f>IF(G29="","",COUNTA($G$5:G29))</f>
        <v/>
      </c>
      <c r="B29" s="15" t="n"/>
      <c r="C29" s="15" t="n"/>
      <c r="D29" s="16" t="n"/>
      <c r="E29" s="16" t="n"/>
      <c r="F29" s="16" t="n"/>
      <c r="G29" s="8" t="n"/>
      <c r="H29" s="16" t="n"/>
      <c r="I29" s="15" t="n"/>
      <c r="J29" s="17" t="n"/>
      <c r="K29" s="17" t="n"/>
      <c r="L29" s="18">
        <f>IFERROR(IF(OR(J29="",K29=""),"",J29/K29),"")</f>
        <v/>
      </c>
      <c r="M29" s="14">
        <f>IFERROR(IF(L29="","",IF(L29&gt;=0.9,"A*",IF(L29&gt;=0.8,"A",IF(L29&gt;=0.7,"B",IF(L29&gt;=0.6,"C",IF(L29&gt;=0.5,"D",IF(L29&gt;=0.4,"E",IF(L29&gt;=0.3,"F","U")))))))),"")</f>
        <v/>
      </c>
      <c r="N29" s="14">
        <f>IF(B29="","",IF(I29="",IF(AND(C29&lt;&gt;"",C29&lt;TODAY()),"❌ Missing","📝 Pending"),IF(AND(C29&lt;&gt;"",I29&gt;C29),"⏰ Late","✅ On Time")))</f>
        <v/>
      </c>
      <c r="O29" s="19">
        <f>IFERROR(IF(OR(I29="",C29=""),"",MAX(0,I29-C29)),"")</f>
        <v/>
      </c>
      <c r="P29" s="8" t="n"/>
    </row>
    <row r="30">
      <c r="A30" s="20">
        <f>IF(G30="","",COUNTA($G$5:G30))</f>
        <v/>
      </c>
      <c r="B30" s="21" t="n"/>
      <c r="C30" s="21" t="n"/>
      <c r="D30" s="22" t="n"/>
      <c r="E30" s="22" t="n"/>
      <c r="F30" s="22" t="n"/>
      <c r="G30" s="10" t="n"/>
      <c r="H30" s="22" t="n"/>
      <c r="I30" s="21" t="n"/>
      <c r="J30" s="23" t="n"/>
      <c r="K30" s="23" t="n"/>
      <c r="L30" s="24">
        <f>IFERROR(IF(OR(J30="",K30=""),"",J30/K30),"")</f>
        <v/>
      </c>
      <c r="M30" s="20">
        <f>IFERROR(IF(L30="","",IF(L30&gt;=0.9,"A*",IF(L30&gt;=0.8,"A",IF(L30&gt;=0.7,"B",IF(L30&gt;=0.6,"C",IF(L30&gt;=0.5,"D",IF(L30&gt;=0.4,"E",IF(L30&gt;=0.3,"F","U")))))))),"")</f>
        <v/>
      </c>
      <c r="N30" s="20">
        <f>IF(B30="","",IF(I30="",IF(AND(C30&lt;&gt;"",C30&lt;TODAY()),"❌ Missing","📝 Pending"),IF(AND(C30&lt;&gt;"",I30&gt;C30),"⏰ Late","✅ On Time")))</f>
        <v/>
      </c>
      <c r="O30" s="25">
        <f>IFERROR(IF(OR(I30="",C30=""),"",MAX(0,I30-C30)),"")</f>
        <v/>
      </c>
      <c r="P30" s="10" t="n"/>
    </row>
    <row r="31">
      <c r="A31" s="14">
        <f>IF(G31="","",COUNTA($G$5:G31))</f>
        <v/>
      </c>
      <c r="B31" s="15" t="n"/>
      <c r="C31" s="15" t="n"/>
      <c r="D31" s="16" t="n"/>
      <c r="E31" s="16" t="n"/>
      <c r="F31" s="16" t="n"/>
      <c r="G31" s="8" t="n"/>
      <c r="H31" s="16" t="n"/>
      <c r="I31" s="15" t="n"/>
      <c r="J31" s="17" t="n"/>
      <c r="K31" s="17" t="n"/>
      <c r="L31" s="18">
        <f>IFERROR(IF(OR(J31="",K31=""),"",J31/K31),"")</f>
        <v/>
      </c>
      <c r="M31" s="14">
        <f>IFERROR(IF(L31="","",IF(L31&gt;=0.9,"A*",IF(L31&gt;=0.8,"A",IF(L31&gt;=0.7,"B",IF(L31&gt;=0.6,"C",IF(L31&gt;=0.5,"D",IF(L31&gt;=0.4,"E",IF(L31&gt;=0.3,"F","U")))))))),"")</f>
        <v/>
      </c>
      <c r="N31" s="14">
        <f>IF(B31="","",IF(I31="",IF(AND(C31&lt;&gt;"",C31&lt;TODAY()),"❌ Missing","📝 Pending"),IF(AND(C31&lt;&gt;"",I31&gt;C31),"⏰ Late","✅ On Time")))</f>
        <v/>
      </c>
      <c r="O31" s="19">
        <f>IFERROR(IF(OR(I31="",C31=""),"",MAX(0,I31-C31)),"")</f>
        <v/>
      </c>
      <c r="P31" s="8" t="n"/>
    </row>
    <row r="32">
      <c r="A32" s="20">
        <f>IF(G32="","",COUNTA($G$5:G32))</f>
        <v/>
      </c>
      <c r="B32" s="21" t="n"/>
      <c r="C32" s="21" t="n"/>
      <c r="D32" s="22" t="n"/>
      <c r="E32" s="22" t="n"/>
      <c r="F32" s="22" t="n"/>
      <c r="G32" s="10" t="n"/>
      <c r="H32" s="22" t="n"/>
      <c r="I32" s="21" t="n"/>
      <c r="J32" s="23" t="n"/>
      <c r="K32" s="23" t="n"/>
      <c r="L32" s="24">
        <f>IFERROR(IF(OR(J32="",K32=""),"",J32/K32),"")</f>
        <v/>
      </c>
      <c r="M32" s="20">
        <f>IFERROR(IF(L32="","",IF(L32&gt;=0.9,"A*",IF(L32&gt;=0.8,"A",IF(L32&gt;=0.7,"B",IF(L32&gt;=0.6,"C",IF(L32&gt;=0.5,"D",IF(L32&gt;=0.4,"E",IF(L32&gt;=0.3,"F","U")))))))),"")</f>
        <v/>
      </c>
      <c r="N32" s="20">
        <f>IF(B32="","",IF(I32="",IF(AND(C32&lt;&gt;"",C32&lt;TODAY()),"❌ Missing","📝 Pending"),IF(AND(C32&lt;&gt;"",I32&gt;C32),"⏰ Late","✅ On Time")))</f>
        <v/>
      </c>
      <c r="O32" s="25">
        <f>IFERROR(IF(OR(I32="",C32=""),"",MAX(0,I32-C32)),"")</f>
        <v/>
      </c>
      <c r="P32" s="10" t="n"/>
    </row>
    <row r="33">
      <c r="A33" s="14">
        <f>IF(G33="","",COUNTA($G$5:G33))</f>
        <v/>
      </c>
      <c r="B33" s="15" t="n"/>
      <c r="C33" s="15" t="n"/>
      <c r="D33" s="16" t="n"/>
      <c r="E33" s="16" t="n"/>
      <c r="F33" s="16" t="n"/>
      <c r="G33" s="8" t="n"/>
      <c r="H33" s="16" t="n"/>
      <c r="I33" s="15" t="n"/>
      <c r="J33" s="17" t="n"/>
      <c r="K33" s="17" t="n"/>
      <c r="L33" s="18">
        <f>IFERROR(IF(OR(J33="",K33=""),"",J33/K33),"")</f>
        <v/>
      </c>
      <c r="M33" s="14">
        <f>IFERROR(IF(L33="","",IF(L33&gt;=0.9,"A*",IF(L33&gt;=0.8,"A",IF(L33&gt;=0.7,"B",IF(L33&gt;=0.6,"C",IF(L33&gt;=0.5,"D",IF(L33&gt;=0.4,"E",IF(L33&gt;=0.3,"F","U")))))))),"")</f>
        <v/>
      </c>
      <c r="N33" s="14">
        <f>IF(B33="","",IF(I33="",IF(AND(C33&lt;&gt;"",C33&lt;TODAY()),"❌ Missing","📝 Pending"),IF(AND(C33&lt;&gt;"",I33&gt;C33),"⏰ Late","✅ On Time")))</f>
        <v/>
      </c>
      <c r="O33" s="19">
        <f>IFERROR(IF(OR(I33="",C33=""),"",MAX(0,I33-C33)),"")</f>
        <v/>
      </c>
      <c r="P33" s="8" t="n"/>
    </row>
    <row r="34">
      <c r="A34" s="20">
        <f>IF(G34="","",COUNTA($G$5:G34))</f>
        <v/>
      </c>
      <c r="B34" s="21" t="n"/>
      <c r="C34" s="21" t="n"/>
      <c r="D34" s="22" t="n"/>
      <c r="E34" s="22" t="n"/>
      <c r="F34" s="22" t="n"/>
      <c r="G34" s="10" t="n"/>
      <c r="H34" s="22" t="n"/>
      <c r="I34" s="21" t="n"/>
      <c r="J34" s="23" t="n"/>
      <c r="K34" s="23" t="n"/>
      <c r="L34" s="24">
        <f>IFERROR(IF(OR(J34="",K34=""),"",J34/K34),"")</f>
        <v/>
      </c>
      <c r="M34" s="20">
        <f>IFERROR(IF(L34="","",IF(L34&gt;=0.9,"A*",IF(L34&gt;=0.8,"A",IF(L34&gt;=0.7,"B",IF(L34&gt;=0.6,"C",IF(L34&gt;=0.5,"D",IF(L34&gt;=0.4,"E",IF(L34&gt;=0.3,"F","U")))))))),"")</f>
        <v/>
      </c>
      <c r="N34" s="20">
        <f>IF(B34="","",IF(I34="",IF(AND(C34&lt;&gt;"",C34&lt;TODAY()),"❌ Missing","📝 Pending"),IF(AND(C34&lt;&gt;"",I34&gt;C34),"⏰ Late","✅ On Time")))</f>
        <v/>
      </c>
      <c r="O34" s="25">
        <f>IFERROR(IF(OR(I34="",C34=""),"",MAX(0,I34-C34)),"")</f>
        <v/>
      </c>
      <c r="P34" s="10" t="n"/>
    </row>
    <row r="35">
      <c r="A35" s="14">
        <f>IF(G35="","",COUNTA($G$5:G35))</f>
        <v/>
      </c>
      <c r="B35" s="15" t="n"/>
      <c r="C35" s="15" t="n"/>
      <c r="D35" s="16" t="n"/>
      <c r="E35" s="16" t="n"/>
      <c r="F35" s="16" t="n"/>
      <c r="G35" s="8" t="n"/>
      <c r="H35" s="16" t="n"/>
      <c r="I35" s="15" t="n"/>
      <c r="J35" s="17" t="n"/>
      <c r="K35" s="17" t="n"/>
      <c r="L35" s="18">
        <f>IFERROR(IF(OR(J35="",K35=""),"",J35/K35),"")</f>
        <v/>
      </c>
      <c r="M35" s="14">
        <f>IFERROR(IF(L35="","",IF(L35&gt;=0.9,"A*",IF(L35&gt;=0.8,"A",IF(L35&gt;=0.7,"B",IF(L35&gt;=0.6,"C",IF(L35&gt;=0.5,"D",IF(L35&gt;=0.4,"E",IF(L35&gt;=0.3,"F","U")))))))),"")</f>
        <v/>
      </c>
      <c r="N35" s="14">
        <f>IF(B35="","",IF(I35="",IF(AND(C35&lt;&gt;"",C35&lt;TODAY()),"❌ Missing","📝 Pending"),IF(AND(C35&lt;&gt;"",I35&gt;C35),"⏰ Late","✅ On Time")))</f>
        <v/>
      </c>
      <c r="O35" s="19">
        <f>IFERROR(IF(OR(I35="",C35=""),"",MAX(0,I35-C35)),"")</f>
        <v/>
      </c>
      <c r="P35" s="8" t="n"/>
    </row>
    <row r="36">
      <c r="A36" s="20">
        <f>IF(G36="","",COUNTA($G$5:G36))</f>
        <v/>
      </c>
      <c r="B36" s="21" t="n"/>
      <c r="C36" s="21" t="n"/>
      <c r="D36" s="22" t="n"/>
      <c r="E36" s="22" t="n"/>
      <c r="F36" s="22" t="n"/>
      <c r="G36" s="10" t="n"/>
      <c r="H36" s="22" t="n"/>
      <c r="I36" s="21" t="n"/>
      <c r="J36" s="23" t="n"/>
      <c r="K36" s="23" t="n"/>
      <c r="L36" s="24">
        <f>IFERROR(IF(OR(J36="",K36=""),"",J36/K36),"")</f>
        <v/>
      </c>
      <c r="M36" s="20">
        <f>IFERROR(IF(L36="","",IF(L36&gt;=0.9,"A*",IF(L36&gt;=0.8,"A",IF(L36&gt;=0.7,"B",IF(L36&gt;=0.6,"C",IF(L36&gt;=0.5,"D",IF(L36&gt;=0.4,"E",IF(L36&gt;=0.3,"F","U")))))))),"")</f>
        <v/>
      </c>
      <c r="N36" s="20">
        <f>IF(B36="","",IF(I36="",IF(AND(C36&lt;&gt;"",C36&lt;TODAY()),"❌ Missing","📝 Pending"),IF(AND(C36&lt;&gt;"",I36&gt;C36),"⏰ Late","✅ On Time")))</f>
        <v/>
      </c>
      <c r="O36" s="25">
        <f>IFERROR(IF(OR(I36="",C36=""),"",MAX(0,I36-C36)),"")</f>
        <v/>
      </c>
      <c r="P36" s="10" t="n"/>
    </row>
    <row r="37">
      <c r="A37" s="14">
        <f>IF(G37="","",COUNTA($G$5:G37))</f>
        <v/>
      </c>
      <c r="B37" s="15" t="n"/>
      <c r="C37" s="15" t="n"/>
      <c r="D37" s="16" t="n"/>
      <c r="E37" s="16" t="n"/>
      <c r="F37" s="16" t="n"/>
      <c r="G37" s="8" t="n"/>
      <c r="H37" s="16" t="n"/>
      <c r="I37" s="15" t="n"/>
      <c r="J37" s="17" t="n"/>
      <c r="K37" s="17" t="n"/>
      <c r="L37" s="18">
        <f>IFERROR(IF(OR(J37="",K37=""),"",J37/K37),"")</f>
        <v/>
      </c>
      <c r="M37" s="14">
        <f>IFERROR(IF(L37="","",IF(L37&gt;=0.9,"A*",IF(L37&gt;=0.8,"A",IF(L37&gt;=0.7,"B",IF(L37&gt;=0.6,"C",IF(L37&gt;=0.5,"D",IF(L37&gt;=0.4,"E",IF(L37&gt;=0.3,"F","U")))))))),"")</f>
        <v/>
      </c>
      <c r="N37" s="14">
        <f>IF(B37="","",IF(I37="",IF(AND(C37&lt;&gt;"",C37&lt;TODAY()),"❌ Missing","📝 Pending"),IF(AND(C37&lt;&gt;"",I37&gt;C37),"⏰ Late","✅ On Time")))</f>
        <v/>
      </c>
      <c r="O37" s="19">
        <f>IFERROR(IF(OR(I37="",C37=""),"",MAX(0,I37-C37)),"")</f>
        <v/>
      </c>
      <c r="P37" s="8" t="n"/>
    </row>
    <row r="38">
      <c r="A38" s="20">
        <f>IF(G38="","",COUNTA($G$5:G38))</f>
        <v/>
      </c>
      <c r="B38" s="21" t="n"/>
      <c r="C38" s="21" t="n"/>
      <c r="D38" s="22" t="n"/>
      <c r="E38" s="22" t="n"/>
      <c r="F38" s="22" t="n"/>
      <c r="G38" s="10" t="n"/>
      <c r="H38" s="22" t="n"/>
      <c r="I38" s="21" t="n"/>
      <c r="J38" s="23" t="n"/>
      <c r="K38" s="23" t="n"/>
      <c r="L38" s="24">
        <f>IFERROR(IF(OR(J38="",K38=""),"",J38/K38),"")</f>
        <v/>
      </c>
      <c r="M38" s="20">
        <f>IFERROR(IF(L38="","",IF(L38&gt;=0.9,"A*",IF(L38&gt;=0.8,"A",IF(L38&gt;=0.7,"B",IF(L38&gt;=0.6,"C",IF(L38&gt;=0.5,"D",IF(L38&gt;=0.4,"E",IF(L38&gt;=0.3,"F","U")))))))),"")</f>
        <v/>
      </c>
      <c r="N38" s="20">
        <f>IF(B38="","",IF(I38="",IF(AND(C38&lt;&gt;"",C38&lt;TODAY()),"❌ Missing","📝 Pending"),IF(AND(C38&lt;&gt;"",I38&gt;C38),"⏰ Late","✅ On Time")))</f>
        <v/>
      </c>
      <c r="O38" s="25">
        <f>IFERROR(IF(OR(I38="",C38=""),"",MAX(0,I38-C38)),"")</f>
        <v/>
      </c>
      <c r="P38" s="10" t="n"/>
    </row>
    <row r="39">
      <c r="A39" s="14">
        <f>IF(G39="","",COUNTA($G$5:G39))</f>
        <v/>
      </c>
      <c r="B39" s="15" t="n"/>
      <c r="C39" s="15" t="n"/>
      <c r="D39" s="16" t="n"/>
      <c r="E39" s="16" t="n"/>
      <c r="F39" s="16" t="n"/>
      <c r="G39" s="8" t="n"/>
      <c r="H39" s="16" t="n"/>
      <c r="I39" s="15" t="n"/>
      <c r="J39" s="17" t="n"/>
      <c r="K39" s="17" t="n"/>
      <c r="L39" s="18">
        <f>IFERROR(IF(OR(J39="",K39=""),"",J39/K39),"")</f>
        <v/>
      </c>
      <c r="M39" s="14">
        <f>IFERROR(IF(L39="","",IF(L39&gt;=0.9,"A*",IF(L39&gt;=0.8,"A",IF(L39&gt;=0.7,"B",IF(L39&gt;=0.6,"C",IF(L39&gt;=0.5,"D",IF(L39&gt;=0.4,"E",IF(L39&gt;=0.3,"F","U")))))))),"")</f>
        <v/>
      </c>
      <c r="N39" s="14">
        <f>IF(B39="","",IF(I39="",IF(AND(C39&lt;&gt;"",C39&lt;TODAY()),"❌ Missing","📝 Pending"),IF(AND(C39&lt;&gt;"",I39&gt;C39),"⏰ Late","✅ On Time")))</f>
        <v/>
      </c>
      <c r="O39" s="19">
        <f>IFERROR(IF(OR(I39="",C39=""),"",MAX(0,I39-C39)),"")</f>
        <v/>
      </c>
      <c r="P39" s="8" t="n"/>
    </row>
    <row r="40">
      <c r="A40" s="20">
        <f>IF(G40="","",COUNTA($G$5:G40))</f>
        <v/>
      </c>
      <c r="B40" s="21" t="n"/>
      <c r="C40" s="21" t="n"/>
      <c r="D40" s="22" t="n"/>
      <c r="E40" s="22" t="n"/>
      <c r="F40" s="22" t="n"/>
      <c r="G40" s="10" t="n"/>
      <c r="H40" s="22" t="n"/>
      <c r="I40" s="21" t="n"/>
      <c r="J40" s="23" t="n"/>
      <c r="K40" s="23" t="n"/>
      <c r="L40" s="24">
        <f>IFERROR(IF(OR(J40="",K40=""),"",J40/K40),"")</f>
        <v/>
      </c>
      <c r="M40" s="20">
        <f>IFERROR(IF(L40="","",IF(L40&gt;=0.9,"A*",IF(L40&gt;=0.8,"A",IF(L40&gt;=0.7,"B",IF(L40&gt;=0.6,"C",IF(L40&gt;=0.5,"D",IF(L40&gt;=0.4,"E",IF(L40&gt;=0.3,"F","U")))))))),"")</f>
        <v/>
      </c>
      <c r="N40" s="20">
        <f>IF(B40="","",IF(I40="",IF(AND(C40&lt;&gt;"",C40&lt;TODAY()),"❌ Missing","📝 Pending"),IF(AND(C40&lt;&gt;"",I40&gt;C40),"⏰ Late","✅ On Time")))</f>
        <v/>
      </c>
      <c r="O40" s="25">
        <f>IFERROR(IF(OR(I40="",C40=""),"",MAX(0,I40-C40)),"")</f>
        <v/>
      </c>
      <c r="P40" s="10" t="n"/>
    </row>
    <row r="41">
      <c r="A41" s="14">
        <f>IF(G41="","",COUNTA($G$5:G41))</f>
        <v/>
      </c>
      <c r="B41" s="15" t="n"/>
      <c r="C41" s="15" t="n"/>
      <c r="D41" s="16" t="n"/>
      <c r="E41" s="16" t="n"/>
      <c r="F41" s="16" t="n"/>
      <c r="G41" s="8" t="n"/>
      <c r="H41" s="16" t="n"/>
      <c r="I41" s="15" t="n"/>
      <c r="J41" s="17" t="n"/>
      <c r="K41" s="17" t="n"/>
      <c r="L41" s="18">
        <f>IFERROR(IF(OR(J41="",K41=""),"",J41/K41),"")</f>
        <v/>
      </c>
      <c r="M41" s="14">
        <f>IFERROR(IF(L41="","",IF(L41&gt;=0.9,"A*",IF(L41&gt;=0.8,"A",IF(L41&gt;=0.7,"B",IF(L41&gt;=0.6,"C",IF(L41&gt;=0.5,"D",IF(L41&gt;=0.4,"E",IF(L41&gt;=0.3,"F","U")))))))),"")</f>
        <v/>
      </c>
      <c r="N41" s="14">
        <f>IF(B41="","",IF(I41="",IF(AND(C41&lt;&gt;"",C41&lt;TODAY()),"❌ Missing","📝 Pending"),IF(AND(C41&lt;&gt;"",I41&gt;C41),"⏰ Late","✅ On Time")))</f>
        <v/>
      </c>
      <c r="O41" s="19">
        <f>IFERROR(IF(OR(I41="",C41=""),"",MAX(0,I41-C41)),"")</f>
        <v/>
      </c>
      <c r="P41" s="8" t="n"/>
    </row>
    <row r="42">
      <c r="A42" s="20">
        <f>IF(G42="","",COUNTA($G$5:G42))</f>
        <v/>
      </c>
      <c r="B42" s="21" t="n"/>
      <c r="C42" s="21" t="n"/>
      <c r="D42" s="22" t="n"/>
      <c r="E42" s="22" t="n"/>
      <c r="F42" s="22" t="n"/>
      <c r="G42" s="10" t="n"/>
      <c r="H42" s="22" t="n"/>
      <c r="I42" s="21" t="n"/>
      <c r="J42" s="23" t="n"/>
      <c r="K42" s="23" t="n"/>
      <c r="L42" s="24">
        <f>IFERROR(IF(OR(J42="",K42=""),"",J42/K42),"")</f>
        <v/>
      </c>
      <c r="M42" s="20">
        <f>IFERROR(IF(L42="","",IF(L42&gt;=0.9,"A*",IF(L42&gt;=0.8,"A",IF(L42&gt;=0.7,"B",IF(L42&gt;=0.6,"C",IF(L42&gt;=0.5,"D",IF(L42&gt;=0.4,"E",IF(L42&gt;=0.3,"F","U")))))))),"")</f>
        <v/>
      </c>
      <c r="N42" s="20">
        <f>IF(B42="","",IF(I42="",IF(AND(C42&lt;&gt;"",C42&lt;TODAY()),"❌ Missing","📝 Pending"),IF(AND(C42&lt;&gt;"",I42&gt;C42),"⏰ Late","✅ On Time")))</f>
        <v/>
      </c>
      <c r="O42" s="25">
        <f>IFERROR(IF(OR(I42="",C42=""),"",MAX(0,I42-C42)),"")</f>
        <v/>
      </c>
      <c r="P42" s="10" t="n"/>
    </row>
    <row r="43">
      <c r="A43" s="14">
        <f>IF(G43="","",COUNTA($G$5:G43))</f>
        <v/>
      </c>
      <c r="B43" s="15" t="n"/>
      <c r="C43" s="15" t="n"/>
      <c r="D43" s="16" t="n"/>
      <c r="E43" s="16" t="n"/>
      <c r="F43" s="16" t="n"/>
      <c r="G43" s="8" t="n"/>
      <c r="H43" s="16" t="n"/>
      <c r="I43" s="15" t="n"/>
      <c r="J43" s="17" t="n"/>
      <c r="K43" s="17" t="n"/>
      <c r="L43" s="18">
        <f>IFERROR(IF(OR(J43="",K43=""),"",J43/K43),"")</f>
        <v/>
      </c>
      <c r="M43" s="14">
        <f>IFERROR(IF(L43="","",IF(L43&gt;=0.9,"A*",IF(L43&gt;=0.8,"A",IF(L43&gt;=0.7,"B",IF(L43&gt;=0.6,"C",IF(L43&gt;=0.5,"D",IF(L43&gt;=0.4,"E",IF(L43&gt;=0.3,"F","U")))))))),"")</f>
        <v/>
      </c>
      <c r="N43" s="14">
        <f>IF(B43="","",IF(I43="",IF(AND(C43&lt;&gt;"",C43&lt;TODAY()),"❌ Missing","📝 Pending"),IF(AND(C43&lt;&gt;"",I43&gt;C43),"⏰ Late","✅ On Time")))</f>
        <v/>
      </c>
      <c r="O43" s="19">
        <f>IFERROR(IF(OR(I43="",C43=""),"",MAX(0,I43-C43)),"")</f>
        <v/>
      </c>
      <c r="P43" s="8" t="n"/>
    </row>
    <row r="44">
      <c r="A44" s="20">
        <f>IF(G44="","",COUNTA($G$5:G44))</f>
        <v/>
      </c>
      <c r="B44" s="21" t="n"/>
      <c r="C44" s="21" t="n"/>
      <c r="D44" s="22" t="n"/>
      <c r="E44" s="22" t="n"/>
      <c r="F44" s="22" t="n"/>
      <c r="G44" s="10" t="n"/>
      <c r="H44" s="22" t="n"/>
      <c r="I44" s="21" t="n"/>
      <c r="J44" s="23" t="n"/>
      <c r="K44" s="23" t="n"/>
      <c r="L44" s="24">
        <f>IFERROR(IF(OR(J44="",K44=""),"",J44/K44),"")</f>
        <v/>
      </c>
      <c r="M44" s="20">
        <f>IFERROR(IF(L44="","",IF(L44&gt;=0.9,"A*",IF(L44&gt;=0.8,"A",IF(L44&gt;=0.7,"B",IF(L44&gt;=0.6,"C",IF(L44&gt;=0.5,"D",IF(L44&gt;=0.4,"E",IF(L44&gt;=0.3,"F","U")))))))),"")</f>
        <v/>
      </c>
      <c r="N44" s="20">
        <f>IF(B44="","",IF(I44="",IF(AND(C44&lt;&gt;"",C44&lt;TODAY()),"❌ Missing","📝 Pending"),IF(AND(C44&lt;&gt;"",I44&gt;C44),"⏰ Late","✅ On Time")))</f>
        <v/>
      </c>
      <c r="O44" s="25">
        <f>IFERROR(IF(OR(I44="",C44=""),"",MAX(0,I44-C44)),"")</f>
        <v/>
      </c>
      <c r="P44" s="10" t="n"/>
    </row>
    <row r="45">
      <c r="A45" s="14">
        <f>IF(G45="","",COUNTA($G$5:G45))</f>
        <v/>
      </c>
      <c r="B45" s="15" t="n"/>
      <c r="C45" s="15" t="n"/>
      <c r="D45" s="16" t="n"/>
      <c r="E45" s="16" t="n"/>
      <c r="F45" s="16" t="n"/>
      <c r="G45" s="8" t="n"/>
      <c r="H45" s="16" t="n"/>
      <c r="I45" s="15" t="n"/>
      <c r="J45" s="17" t="n"/>
      <c r="K45" s="17" t="n"/>
      <c r="L45" s="18">
        <f>IFERROR(IF(OR(J45="",K45=""),"",J45/K45),"")</f>
        <v/>
      </c>
      <c r="M45" s="14">
        <f>IFERROR(IF(L45="","",IF(L45&gt;=0.9,"A*",IF(L45&gt;=0.8,"A",IF(L45&gt;=0.7,"B",IF(L45&gt;=0.6,"C",IF(L45&gt;=0.5,"D",IF(L45&gt;=0.4,"E",IF(L45&gt;=0.3,"F","U")))))))),"")</f>
        <v/>
      </c>
      <c r="N45" s="14">
        <f>IF(B45="","",IF(I45="",IF(AND(C45&lt;&gt;"",C45&lt;TODAY()),"❌ Missing","📝 Pending"),IF(AND(C45&lt;&gt;"",I45&gt;C45),"⏰ Late","✅ On Time")))</f>
        <v/>
      </c>
      <c r="O45" s="19">
        <f>IFERROR(IF(OR(I45="",C45=""),"",MAX(0,I45-C45)),"")</f>
        <v/>
      </c>
      <c r="P45" s="8" t="n"/>
    </row>
    <row r="46">
      <c r="A46" s="20">
        <f>IF(G46="","",COUNTA($G$5:G46))</f>
        <v/>
      </c>
      <c r="B46" s="21" t="n"/>
      <c r="C46" s="21" t="n"/>
      <c r="D46" s="22" t="n"/>
      <c r="E46" s="22" t="n"/>
      <c r="F46" s="22" t="n"/>
      <c r="G46" s="10" t="n"/>
      <c r="H46" s="22" t="n"/>
      <c r="I46" s="21" t="n"/>
      <c r="J46" s="23" t="n"/>
      <c r="K46" s="23" t="n"/>
      <c r="L46" s="24">
        <f>IFERROR(IF(OR(J46="",K46=""),"",J46/K46),"")</f>
        <v/>
      </c>
      <c r="M46" s="20">
        <f>IFERROR(IF(L46="","",IF(L46&gt;=0.9,"A*",IF(L46&gt;=0.8,"A",IF(L46&gt;=0.7,"B",IF(L46&gt;=0.6,"C",IF(L46&gt;=0.5,"D",IF(L46&gt;=0.4,"E",IF(L46&gt;=0.3,"F","U")))))))),"")</f>
        <v/>
      </c>
      <c r="N46" s="20">
        <f>IF(B46="","",IF(I46="",IF(AND(C46&lt;&gt;"",C46&lt;TODAY()),"❌ Missing","📝 Pending"),IF(AND(C46&lt;&gt;"",I46&gt;C46),"⏰ Late","✅ On Time")))</f>
        <v/>
      </c>
      <c r="O46" s="25">
        <f>IFERROR(IF(OR(I46="",C46=""),"",MAX(0,I46-C46)),"")</f>
        <v/>
      </c>
      <c r="P46" s="10" t="n"/>
    </row>
    <row r="47">
      <c r="A47" s="14">
        <f>IF(G47="","",COUNTA($G$5:G47))</f>
        <v/>
      </c>
      <c r="B47" s="15" t="n"/>
      <c r="C47" s="15" t="n"/>
      <c r="D47" s="16" t="n"/>
      <c r="E47" s="16" t="n"/>
      <c r="F47" s="16" t="n"/>
      <c r="G47" s="8" t="n"/>
      <c r="H47" s="16" t="n"/>
      <c r="I47" s="15" t="n"/>
      <c r="J47" s="17" t="n"/>
      <c r="K47" s="17" t="n"/>
      <c r="L47" s="18">
        <f>IFERROR(IF(OR(J47="",K47=""),"",J47/K47),"")</f>
        <v/>
      </c>
      <c r="M47" s="14">
        <f>IFERROR(IF(L47="","",IF(L47&gt;=0.9,"A*",IF(L47&gt;=0.8,"A",IF(L47&gt;=0.7,"B",IF(L47&gt;=0.6,"C",IF(L47&gt;=0.5,"D",IF(L47&gt;=0.4,"E",IF(L47&gt;=0.3,"F","U")))))))),"")</f>
        <v/>
      </c>
      <c r="N47" s="14">
        <f>IF(B47="","",IF(I47="",IF(AND(C47&lt;&gt;"",C47&lt;TODAY()),"❌ Missing","📝 Pending"),IF(AND(C47&lt;&gt;"",I47&gt;C47),"⏰ Late","✅ On Time")))</f>
        <v/>
      </c>
      <c r="O47" s="19">
        <f>IFERROR(IF(OR(I47="",C47=""),"",MAX(0,I47-C47)),"")</f>
        <v/>
      </c>
      <c r="P47" s="8" t="n"/>
    </row>
    <row r="48">
      <c r="A48" s="20">
        <f>IF(G48="","",COUNTA($G$5:G48))</f>
        <v/>
      </c>
      <c r="B48" s="21" t="n"/>
      <c r="C48" s="21" t="n"/>
      <c r="D48" s="22" t="n"/>
      <c r="E48" s="22" t="n"/>
      <c r="F48" s="22" t="n"/>
      <c r="G48" s="10" t="n"/>
      <c r="H48" s="22" t="n"/>
      <c r="I48" s="21" t="n"/>
      <c r="J48" s="23" t="n"/>
      <c r="K48" s="23" t="n"/>
      <c r="L48" s="24">
        <f>IFERROR(IF(OR(J48="",K48=""),"",J48/K48),"")</f>
        <v/>
      </c>
      <c r="M48" s="20">
        <f>IFERROR(IF(L48="","",IF(L48&gt;=0.9,"A*",IF(L48&gt;=0.8,"A",IF(L48&gt;=0.7,"B",IF(L48&gt;=0.6,"C",IF(L48&gt;=0.5,"D",IF(L48&gt;=0.4,"E",IF(L48&gt;=0.3,"F","U")))))))),"")</f>
        <v/>
      </c>
      <c r="N48" s="20">
        <f>IF(B48="","",IF(I48="",IF(AND(C48&lt;&gt;"",C48&lt;TODAY()),"❌ Missing","📝 Pending"),IF(AND(C48&lt;&gt;"",I48&gt;C48),"⏰ Late","✅ On Time")))</f>
        <v/>
      </c>
      <c r="O48" s="25">
        <f>IFERROR(IF(OR(I48="",C48=""),"",MAX(0,I48-C48)),"")</f>
        <v/>
      </c>
      <c r="P48" s="10" t="n"/>
    </row>
    <row r="49">
      <c r="A49" s="14">
        <f>IF(G49="","",COUNTA($G$5:G49))</f>
        <v/>
      </c>
      <c r="B49" s="15" t="n"/>
      <c r="C49" s="15" t="n"/>
      <c r="D49" s="16" t="n"/>
      <c r="E49" s="16" t="n"/>
      <c r="F49" s="16" t="n"/>
      <c r="G49" s="8" t="n"/>
      <c r="H49" s="16" t="n"/>
      <c r="I49" s="15" t="n"/>
      <c r="J49" s="17" t="n"/>
      <c r="K49" s="17" t="n"/>
      <c r="L49" s="18">
        <f>IFERROR(IF(OR(J49="",K49=""),"",J49/K49),"")</f>
        <v/>
      </c>
      <c r="M49" s="14">
        <f>IFERROR(IF(L49="","",IF(L49&gt;=0.9,"A*",IF(L49&gt;=0.8,"A",IF(L49&gt;=0.7,"B",IF(L49&gt;=0.6,"C",IF(L49&gt;=0.5,"D",IF(L49&gt;=0.4,"E",IF(L49&gt;=0.3,"F","U")))))))),"")</f>
        <v/>
      </c>
      <c r="N49" s="14">
        <f>IF(B49="","",IF(I49="",IF(AND(C49&lt;&gt;"",C49&lt;TODAY()),"❌ Missing","📝 Pending"),IF(AND(C49&lt;&gt;"",I49&gt;C49),"⏰ Late","✅ On Time")))</f>
        <v/>
      </c>
      <c r="O49" s="19">
        <f>IFERROR(IF(OR(I49="",C49=""),"",MAX(0,I49-C49)),"")</f>
        <v/>
      </c>
      <c r="P49" s="8" t="n"/>
    </row>
    <row r="50">
      <c r="A50" s="20">
        <f>IF(G50="","",COUNTA($G$5:G50))</f>
        <v/>
      </c>
      <c r="B50" s="21" t="n"/>
      <c r="C50" s="21" t="n"/>
      <c r="D50" s="22" t="n"/>
      <c r="E50" s="22" t="n"/>
      <c r="F50" s="22" t="n"/>
      <c r="G50" s="10" t="n"/>
      <c r="H50" s="22" t="n"/>
      <c r="I50" s="21" t="n"/>
      <c r="J50" s="23" t="n"/>
      <c r="K50" s="23" t="n"/>
      <c r="L50" s="24">
        <f>IFERROR(IF(OR(J50="",K50=""),"",J50/K50),"")</f>
        <v/>
      </c>
      <c r="M50" s="20">
        <f>IFERROR(IF(L50="","",IF(L50&gt;=0.9,"A*",IF(L50&gt;=0.8,"A",IF(L50&gt;=0.7,"B",IF(L50&gt;=0.6,"C",IF(L50&gt;=0.5,"D",IF(L50&gt;=0.4,"E",IF(L50&gt;=0.3,"F","U")))))))),"")</f>
        <v/>
      </c>
      <c r="N50" s="20">
        <f>IF(B50="","",IF(I50="",IF(AND(C50&lt;&gt;"",C50&lt;TODAY()),"❌ Missing","📝 Pending"),IF(AND(C50&lt;&gt;"",I50&gt;C50),"⏰ Late","✅ On Time")))</f>
        <v/>
      </c>
      <c r="O50" s="25">
        <f>IFERROR(IF(OR(I50="",C50=""),"",MAX(0,I50-C50)),"")</f>
        <v/>
      </c>
      <c r="P50" s="10" t="n"/>
    </row>
    <row r="51">
      <c r="A51" s="14">
        <f>IF(G51="","",COUNTA($G$5:G51))</f>
        <v/>
      </c>
      <c r="B51" s="15" t="n"/>
      <c r="C51" s="15" t="n"/>
      <c r="D51" s="16" t="n"/>
      <c r="E51" s="16" t="n"/>
      <c r="F51" s="16" t="n"/>
      <c r="G51" s="8" t="n"/>
      <c r="H51" s="16" t="n"/>
      <c r="I51" s="15" t="n"/>
      <c r="J51" s="17" t="n"/>
      <c r="K51" s="17" t="n"/>
      <c r="L51" s="18">
        <f>IFERROR(IF(OR(J51="",K51=""),"",J51/K51),"")</f>
        <v/>
      </c>
      <c r="M51" s="14">
        <f>IFERROR(IF(L51="","",IF(L51&gt;=0.9,"A*",IF(L51&gt;=0.8,"A",IF(L51&gt;=0.7,"B",IF(L51&gt;=0.6,"C",IF(L51&gt;=0.5,"D",IF(L51&gt;=0.4,"E",IF(L51&gt;=0.3,"F","U")))))))),"")</f>
        <v/>
      </c>
      <c r="N51" s="14">
        <f>IF(B51="","",IF(I51="",IF(AND(C51&lt;&gt;"",C51&lt;TODAY()),"❌ Missing","📝 Pending"),IF(AND(C51&lt;&gt;"",I51&gt;C51),"⏰ Late","✅ On Time")))</f>
        <v/>
      </c>
      <c r="O51" s="19">
        <f>IFERROR(IF(OR(I51="",C51=""),"",MAX(0,I51-C51)),"")</f>
        <v/>
      </c>
      <c r="P51" s="8" t="n"/>
    </row>
    <row r="52">
      <c r="A52" s="20">
        <f>IF(G52="","",COUNTA($G$5:G52))</f>
        <v/>
      </c>
      <c r="B52" s="21" t="n"/>
      <c r="C52" s="21" t="n"/>
      <c r="D52" s="22" t="n"/>
      <c r="E52" s="22" t="n"/>
      <c r="F52" s="22" t="n"/>
      <c r="G52" s="10" t="n"/>
      <c r="H52" s="22" t="n"/>
      <c r="I52" s="21" t="n"/>
      <c r="J52" s="23" t="n"/>
      <c r="K52" s="23" t="n"/>
      <c r="L52" s="24">
        <f>IFERROR(IF(OR(J52="",K52=""),"",J52/K52),"")</f>
        <v/>
      </c>
      <c r="M52" s="20">
        <f>IFERROR(IF(L52="","",IF(L52&gt;=0.9,"A*",IF(L52&gt;=0.8,"A",IF(L52&gt;=0.7,"B",IF(L52&gt;=0.6,"C",IF(L52&gt;=0.5,"D",IF(L52&gt;=0.4,"E",IF(L52&gt;=0.3,"F","U")))))))),"")</f>
        <v/>
      </c>
      <c r="N52" s="20">
        <f>IF(B52="","",IF(I52="",IF(AND(C52&lt;&gt;"",C52&lt;TODAY()),"❌ Missing","📝 Pending"),IF(AND(C52&lt;&gt;"",I52&gt;C52),"⏰ Late","✅ On Time")))</f>
        <v/>
      </c>
      <c r="O52" s="25">
        <f>IFERROR(IF(OR(I52="",C52=""),"",MAX(0,I52-C52)),"")</f>
        <v/>
      </c>
      <c r="P52" s="10" t="n"/>
    </row>
    <row r="53">
      <c r="A53" s="14">
        <f>IF(G53="","",COUNTA($G$5:G53))</f>
        <v/>
      </c>
      <c r="B53" s="15" t="n"/>
      <c r="C53" s="15" t="n"/>
      <c r="D53" s="16" t="n"/>
      <c r="E53" s="16" t="n"/>
      <c r="F53" s="16" t="n"/>
      <c r="G53" s="8" t="n"/>
      <c r="H53" s="16" t="n"/>
      <c r="I53" s="15" t="n"/>
      <c r="J53" s="17" t="n"/>
      <c r="K53" s="17" t="n"/>
      <c r="L53" s="18">
        <f>IFERROR(IF(OR(J53="",K53=""),"",J53/K53),"")</f>
        <v/>
      </c>
      <c r="M53" s="14">
        <f>IFERROR(IF(L53="","",IF(L53&gt;=0.9,"A*",IF(L53&gt;=0.8,"A",IF(L53&gt;=0.7,"B",IF(L53&gt;=0.6,"C",IF(L53&gt;=0.5,"D",IF(L53&gt;=0.4,"E",IF(L53&gt;=0.3,"F","U")))))))),"")</f>
        <v/>
      </c>
      <c r="N53" s="14">
        <f>IF(B53="","",IF(I53="",IF(AND(C53&lt;&gt;"",C53&lt;TODAY()),"❌ Missing","📝 Pending"),IF(AND(C53&lt;&gt;"",I53&gt;C53),"⏰ Late","✅ On Time")))</f>
        <v/>
      </c>
      <c r="O53" s="19">
        <f>IFERROR(IF(OR(I53="",C53=""),"",MAX(0,I53-C53)),"")</f>
        <v/>
      </c>
      <c r="P53" s="8" t="n"/>
    </row>
    <row r="54">
      <c r="A54" s="20">
        <f>IF(G54="","",COUNTA($G$5:G54))</f>
        <v/>
      </c>
      <c r="B54" s="21" t="n"/>
      <c r="C54" s="21" t="n"/>
      <c r="D54" s="22" t="n"/>
      <c r="E54" s="22" t="n"/>
      <c r="F54" s="22" t="n"/>
      <c r="G54" s="10" t="n"/>
      <c r="H54" s="22" t="n"/>
      <c r="I54" s="21" t="n"/>
      <c r="J54" s="23" t="n"/>
      <c r="K54" s="23" t="n"/>
      <c r="L54" s="24">
        <f>IFERROR(IF(OR(J54="",K54=""),"",J54/K54),"")</f>
        <v/>
      </c>
      <c r="M54" s="20">
        <f>IFERROR(IF(L54="","",IF(L54&gt;=0.9,"A*",IF(L54&gt;=0.8,"A",IF(L54&gt;=0.7,"B",IF(L54&gt;=0.6,"C",IF(L54&gt;=0.5,"D",IF(L54&gt;=0.4,"E",IF(L54&gt;=0.3,"F","U")))))))),"")</f>
        <v/>
      </c>
      <c r="N54" s="20">
        <f>IF(B54="","",IF(I54="",IF(AND(C54&lt;&gt;"",C54&lt;TODAY()),"❌ Missing","📝 Pending"),IF(AND(C54&lt;&gt;"",I54&gt;C54),"⏰ Late","✅ On Time")))</f>
        <v/>
      </c>
      <c r="O54" s="25">
        <f>IFERROR(IF(OR(I54="",C54=""),"",MAX(0,I54-C54)),"")</f>
        <v/>
      </c>
      <c r="P54" s="10" t="n"/>
    </row>
    <row r="55">
      <c r="A55" s="14">
        <f>IF(G55="","",COUNTA($G$5:G55))</f>
        <v/>
      </c>
      <c r="B55" s="15" t="n"/>
      <c r="C55" s="15" t="n"/>
      <c r="D55" s="16" t="n"/>
      <c r="E55" s="16" t="n"/>
      <c r="F55" s="16" t="n"/>
      <c r="G55" s="8" t="n"/>
      <c r="H55" s="16" t="n"/>
      <c r="I55" s="15" t="n"/>
      <c r="J55" s="17" t="n"/>
      <c r="K55" s="17" t="n"/>
      <c r="L55" s="18">
        <f>IFERROR(IF(OR(J55="",K55=""),"",J55/K55),"")</f>
        <v/>
      </c>
      <c r="M55" s="14">
        <f>IFERROR(IF(L55="","",IF(L55&gt;=0.9,"A*",IF(L55&gt;=0.8,"A",IF(L55&gt;=0.7,"B",IF(L55&gt;=0.6,"C",IF(L55&gt;=0.5,"D",IF(L55&gt;=0.4,"E",IF(L55&gt;=0.3,"F","U")))))))),"")</f>
        <v/>
      </c>
      <c r="N55" s="14">
        <f>IF(B55="","",IF(I55="",IF(AND(C55&lt;&gt;"",C55&lt;TODAY()),"❌ Missing","📝 Pending"),IF(AND(C55&lt;&gt;"",I55&gt;C55),"⏰ Late","✅ On Time")))</f>
        <v/>
      </c>
      <c r="O55" s="19">
        <f>IFERROR(IF(OR(I55="",C55=""),"",MAX(0,I55-C55)),"")</f>
        <v/>
      </c>
      <c r="P55" s="8" t="n"/>
    </row>
    <row r="56">
      <c r="A56" s="20">
        <f>IF(G56="","",COUNTA($G$5:G56))</f>
        <v/>
      </c>
      <c r="B56" s="21" t="n"/>
      <c r="C56" s="21" t="n"/>
      <c r="D56" s="22" t="n"/>
      <c r="E56" s="22" t="n"/>
      <c r="F56" s="22" t="n"/>
      <c r="G56" s="10" t="n"/>
      <c r="H56" s="22" t="n"/>
      <c r="I56" s="21" t="n"/>
      <c r="J56" s="23" t="n"/>
      <c r="K56" s="23" t="n"/>
      <c r="L56" s="24">
        <f>IFERROR(IF(OR(J56="",K56=""),"",J56/K56),"")</f>
        <v/>
      </c>
      <c r="M56" s="20">
        <f>IFERROR(IF(L56="","",IF(L56&gt;=0.9,"A*",IF(L56&gt;=0.8,"A",IF(L56&gt;=0.7,"B",IF(L56&gt;=0.6,"C",IF(L56&gt;=0.5,"D",IF(L56&gt;=0.4,"E",IF(L56&gt;=0.3,"F","U")))))))),"")</f>
        <v/>
      </c>
      <c r="N56" s="20">
        <f>IF(B56="","",IF(I56="",IF(AND(C56&lt;&gt;"",C56&lt;TODAY()),"❌ Missing","📝 Pending"),IF(AND(C56&lt;&gt;"",I56&gt;C56),"⏰ Late","✅ On Time")))</f>
        <v/>
      </c>
      <c r="O56" s="25">
        <f>IFERROR(IF(OR(I56="",C56=""),"",MAX(0,I56-C56)),"")</f>
        <v/>
      </c>
      <c r="P56" s="10" t="n"/>
    </row>
    <row r="57">
      <c r="A57" s="14">
        <f>IF(G57="","",COUNTA($G$5:G57))</f>
        <v/>
      </c>
      <c r="B57" s="15" t="n"/>
      <c r="C57" s="15" t="n"/>
      <c r="D57" s="16" t="n"/>
      <c r="E57" s="16" t="n"/>
      <c r="F57" s="16" t="n"/>
      <c r="G57" s="8" t="n"/>
      <c r="H57" s="16" t="n"/>
      <c r="I57" s="15" t="n"/>
      <c r="J57" s="17" t="n"/>
      <c r="K57" s="17" t="n"/>
      <c r="L57" s="18">
        <f>IFERROR(IF(OR(J57="",K57=""),"",J57/K57),"")</f>
        <v/>
      </c>
      <c r="M57" s="14">
        <f>IFERROR(IF(L57="","",IF(L57&gt;=0.9,"A*",IF(L57&gt;=0.8,"A",IF(L57&gt;=0.7,"B",IF(L57&gt;=0.6,"C",IF(L57&gt;=0.5,"D",IF(L57&gt;=0.4,"E",IF(L57&gt;=0.3,"F","U")))))))),"")</f>
        <v/>
      </c>
      <c r="N57" s="14">
        <f>IF(B57="","",IF(I57="",IF(AND(C57&lt;&gt;"",C57&lt;TODAY()),"❌ Missing","📝 Pending"),IF(AND(C57&lt;&gt;"",I57&gt;C57),"⏰ Late","✅ On Time")))</f>
        <v/>
      </c>
      <c r="O57" s="19">
        <f>IFERROR(IF(OR(I57="",C57=""),"",MAX(0,I57-C57)),"")</f>
        <v/>
      </c>
      <c r="P57" s="8" t="n"/>
    </row>
    <row r="58">
      <c r="A58" s="20">
        <f>IF(G58="","",COUNTA($G$5:G58))</f>
        <v/>
      </c>
      <c r="B58" s="21" t="n"/>
      <c r="C58" s="21" t="n"/>
      <c r="D58" s="22" t="n"/>
      <c r="E58" s="22" t="n"/>
      <c r="F58" s="22" t="n"/>
      <c r="G58" s="10" t="n"/>
      <c r="H58" s="22" t="n"/>
      <c r="I58" s="21" t="n"/>
      <c r="J58" s="23" t="n"/>
      <c r="K58" s="23" t="n"/>
      <c r="L58" s="24">
        <f>IFERROR(IF(OR(J58="",K58=""),"",J58/K58),"")</f>
        <v/>
      </c>
      <c r="M58" s="20">
        <f>IFERROR(IF(L58="","",IF(L58&gt;=0.9,"A*",IF(L58&gt;=0.8,"A",IF(L58&gt;=0.7,"B",IF(L58&gt;=0.6,"C",IF(L58&gt;=0.5,"D",IF(L58&gt;=0.4,"E",IF(L58&gt;=0.3,"F","U")))))))),"")</f>
        <v/>
      </c>
      <c r="N58" s="20">
        <f>IF(B58="","",IF(I58="",IF(AND(C58&lt;&gt;"",C58&lt;TODAY()),"❌ Missing","📝 Pending"),IF(AND(C58&lt;&gt;"",I58&gt;C58),"⏰ Late","✅ On Time")))</f>
        <v/>
      </c>
      <c r="O58" s="25">
        <f>IFERROR(IF(OR(I58="",C58=""),"",MAX(0,I58-C58)),"")</f>
        <v/>
      </c>
      <c r="P58" s="10" t="n"/>
    </row>
    <row r="59">
      <c r="A59" s="14">
        <f>IF(G59="","",COUNTA($G$5:G59))</f>
        <v/>
      </c>
      <c r="B59" s="15" t="n"/>
      <c r="C59" s="15" t="n"/>
      <c r="D59" s="16" t="n"/>
      <c r="E59" s="16" t="n"/>
      <c r="F59" s="16" t="n"/>
      <c r="G59" s="8" t="n"/>
      <c r="H59" s="16" t="n"/>
      <c r="I59" s="15" t="n"/>
      <c r="J59" s="17" t="n"/>
      <c r="K59" s="17" t="n"/>
      <c r="L59" s="18">
        <f>IFERROR(IF(OR(J59="",K59=""),"",J59/K59),"")</f>
        <v/>
      </c>
      <c r="M59" s="14">
        <f>IFERROR(IF(L59="","",IF(L59&gt;=0.9,"A*",IF(L59&gt;=0.8,"A",IF(L59&gt;=0.7,"B",IF(L59&gt;=0.6,"C",IF(L59&gt;=0.5,"D",IF(L59&gt;=0.4,"E",IF(L59&gt;=0.3,"F","U")))))))),"")</f>
        <v/>
      </c>
      <c r="N59" s="14">
        <f>IF(B59="","",IF(I59="",IF(AND(C59&lt;&gt;"",C59&lt;TODAY()),"❌ Missing","📝 Pending"),IF(AND(C59&lt;&gt;"",I59&gt;C59),"⏰ Late","✅ On Time")))</f>
        <v/>
      </c>
      <c r="O59" s="19">
        <f>IFERROR(IF(OR(I59="",C59=""),"",MAX(0,I59-C59)),"")</f>
        <v/>
      </c>
      <c r="P59" s="8" t="n"/>
    </row>
    <row r="60">
      <c r="A60" s="20">
        <f>IF(G60="","",COUNTA($G$5:G60))</f>
        <v/>
      </c>
      <c r="B60" s="21" t="n"/>
      <c r="C60" s="21" t="n"/>
      <c r="D60" s="22" t="n"/>
      <c r="E60" s="22" t="n"/>
      <c r="F60" s="22" t="n"/>
      <c r="G60" s="10" t="n"/>
      <c r="H60" s="22" t="n"/>
      <c r="I60" s="21" t="n"/>
      <c r="J60" s="23" t="n"/>
      <c r="K60" s="23" t="n"/>
      <c r="L60" s="24">
        <f>IFERROR(IF(OR(J60="",K60=""),"",J60/K60),"")</f>
        <v/>
      </c>
      <c r="M60" s="20">
        <f>IFERROR(IF(L60="","",IF(L60&gt;=0.9,"A*",IF(L60&gt;=0.8,"A",IF(L60&gt;=0.7,"B",IF(L60&gt;=0.6,"C",IF(L60&gt;=0.5,"D",IF(L60&gt;=0.4,"E",IF(L60&gt;=0.3,"F","U")))))))),"")</f>
        <v/>
      </c>
      <c r="N60" s="20">
        <f>IF(B60="","",IF(I60="",IF(AND(C60&lt;&gt;"",C60&lt;TODAY()),"❌ Missing","📝 Pending"),IF(AND(C60&lt;&gt;"",I60&gt;C60),"⏰ Late","✅ On Time")))</f>
        <v/>
      </c>
      <c r="O60" s="25">
        <f>IFERROR(IF(OR(I60="",C60=""),"",MAX(0,I60-C60)),"")</f>
        <v/>
      </c>
      <c r="P60" s="10" t="n"/>
    </row>
    <row r="61">
      <c r="A61" s="14">
        <f>IF(G61="","",COUNTA($G$5:G61))</f>
        <v/>
      </c>
      <c r="B61" s="15" t="n"/>
      <c r="C61" s="15" t="n"/>
      <c r="D61" s="16" t="n"/>
      <c r="E61" s="16" t="n"/>
      <c r="F61" s="16" t="n"/>
      <c r="G61" s="8" t="n"/>
      <c r="H61" s="16" t="n"/>
      <c r="I61" s="15" t="n"/>
      <c r="J61" s="17" t="n"/>
      <c r="K61" s="17" t="n"/>
      <c r="L61" s="18">
        <f>IFERROR(IF(OR(J61="",K61=""),"",J61/K61),"")</f>
        <v/>
      </c>
      <c r="M61" s="14">
        <f>IFERROR(IF(L61="","",IF(L61&gt;=0.9,"A*",IF(L61&gt;=0.8,"A",IF(L61&gt;=0.7,"B",IF(L61&gt;=0.6,"C",IF(L61&gt;=0.5,"D",IF(L61&gt;=0.4,"E",IF(L61&gt;=0.3,"F","U")))))))),"")</f>
        <v/>
      </c>
      <c r="N61" s="14">
        <f>IF(B61="","",IF(I61="",IF(AND(C61&lt;&gt;"",C61&lt;TODAY()),"❌ Missing","📝 Pending"),IF(AND(C61&lt;&gt;"",I61&gt;C61),"⏰ Late","✅ On Time")))</f>
        <v/>
      </c>
      <c r="O61" s="19">
        <f>IFERROR(IF(OR(I61="",C61=""),"",MAX(0,I61-C61)),"")</f>
        <v/>
      </c>
      <c r="P61" s="8" t="n"/>
    </row>
    <row r="62">
      <c r="A62" s="20">
        <f>IF(G62="","",COUNTA($G$5:G62))</f>
        <v/>
      </c>
      <c r="B62" s="21" t="n"/>
      <c r="C62" s="21" t="n"/>
      <c r="D62" s="22" t="n"/>
      <c r="E62" s="22" t="n"/>
      <c r="F62" s="22" t="n"/>
      <c r="G62" s="10" t="n"/>
      <c r="H62" s="22" t="n"/>
      <c r="I62" s="21" t="n"/>
      <c r="J62" s="23" t="n"/>
      <c r="K62" s="23" t="n"/>
      <c r="L62" s="24">
        <f>IFERROR(IF(OR(J62="",K62=""),"",J62/K62),"")</f>
        <v/>
      </c>
      <c r="M62" s="20">
        <f>IFERROR(IF(L62="","",IF(L62&gt;=0.9,"A*",IF(L62&gt;=0.8,"A",IF(L62&gt;=0.7,"B",IF(L62&gt;=0.6,"C",IF(L62&gt;=0.5,"D",IF(L62&gt;=0.4,"E",IF(L62&gt;=0.3,"F","U")))))))),"")</f>
        <v/>
      </c>
      <c r="N62" s="20">
        <f>IF(B62="","",IF(I62="",IF(AND(C62&lt;&gt;"",C62&lt;TODAY()),"❌ Missing","📝 Pending"),IF(AND(C62&lt;&gt;"",I62&gt;C62),"⏰ Late","✅ On Time")))</f>
        <v/>
      </c>
      <c r="O62" s="25">
        <f>IFERROR(IF(OR(I62="",C62=""),"",MAX(0,I62-C62)),"")</f>
        <v/>
      </c>
      <c r="P62" s="10" t="n"/>
    </row>
    <row r="63">
      <c r="A63" s="14">
        <f>IF(G63="","",COUNTA($G$5:G63))</f>
        <v/>
      </c>
      <c r="B63" s="15" t="n"/>
      <c r="C63" s="15" t="n"/>
      <c r="D63" s="16" t="n"/>
      <c r="E63" s="16" t="n"/>
      <c r="F63" s="16" t="n"/>
      <c r="G63" s="8" t="n"/>
      <c r="H63" s="16" t="n"/>
      <c r="I63" s="15" t="n"/>
      <c r="J63" s="17" t="n"/>
      <c r="K63" s="17" t="n"/>
      <c r="L63" s="18">
        <f>IFERROR(IF(OR(J63="",K63=""),"",J63/K63),"")</f>
        <v/>
      </c>
      <c r="M63" s="14">
        <f>IFERROR(IF(L63="","",IF(L63&gt;=0.9,"A*",IF(L63&gt;=0.8,"A",IF(L63&gt;=0.7,"B",IF(L63&gt;=0.6,"C",IF(L63&gt;=0.5,"D",IF(L63&gt;=0.4,"E",IF(L63&gt;=0.3,"F","U")))))))),"")</f>
        <v/>
      </c>
      <c r="N63" s="14">
        <f>IF(B63="","",IF(I63="",IF(AND(C63&lt;&gt;"",C63&lt;TODAY()),"❌ Missing","📝 Pending"),IF(AND(C63&lt;&gt;"",I63&gt;C63),"⏰ Late","✅ On Time")))</f>
        <v/>
      </c>
      <c r="O63" s="19">
        <f>IFERROR(IF(OR(I63="",C63=""),"",MAX(0,I63-C63)),"")</f>
        <v/>
      </c>
      <c r="P63" s="8" t="n"/>
    </row>
    <row r="64">
      <c r="A64" s="20">
        <f>IF(G64="","",COUNTA($G$5:G64))</f>
        <v/>
      </c>
      <c r="B64" s="21" t="n"/>
      <c r="C64" s="21" t="n"/>
      <c r="D64" s="22" t="n"/>
      <c r="E64" s="22" t="n"/>
      <c r="F64" s="22" t="n"/>
      <c r="G64" s="10" t="n"/>
      <c r="H64" s="22" t="n"/>
      <c r="I64" s="21" t="n"/>
      <c r="J64" s="23" t="n"/>
      <c r="K64" s="23" t="n"/>
      <c r="L64" s="24">
        <f>IFERROR(IF(OR(J64="",K64=""),"",J64/K64),"")</f>
        <v/>
      </c>
      <c r="M64" s="20">
        <f>IFERROR(IF(L64="","",IF(L64&gt;=0.9,"A*",IF(L64&gt;=0.8,"A",IF(L64&gt;=0.7,"B",IF(L64&gt;=0.6,"C",IF(L64&gt;=0.5,"D",IF(L64&gt;=0.4,"E",IF(L64&gt;=0.3,"F","U")))))))),"")</f>
        <v/>
      </c>
      <c r="N64" s="20">
        <f>IF(B64="","",IF(I64="",IF(AND(C64&lt;&gt;"",C64&lt;TODAY()),"❌ Missing","📝 Pending"),IF(AND(C64&lt;&gt;"",I64&gt;C64),"⏰ Late","✅ On Time")))</f>
        <v/>
      </c>
      <c r="O64" s="25">
        <f>IFERROR(IF(OR(I64="",C64=""),"",MAX(0,I64-C64)),"")</f>
        <v/>
      </c>
      <c r="P64" s="10" t="n"/>
    </row>
    <row r="65">
      <c r="A65" s="14">
        <f>IF(G65="","",COUNTA($G$5:G65))</f>
        <v/>
      </c>
      <c r="B65" s="15" t="n"/>
      <c r="C65" s="15" t="n"/>
      <c r="D65" s="16" t="n"/>
      <c r="E65" s="16" t="n"/>
      <c r="F65" s="16" t="n"/>
      <c r="G65" s="8" t="n"/>
      <c r="H65" s="16" t="n"/>
      <c r="I65" s="15" t="n"/>
      <c r="J65" s="17" t="n"/>
      <c r="K65" s="17" t="n"/>
      <c r="L65" s="18">
        <f>IFERROR(IF(OR(J65="",K65=""),"",J65/K65),"")</f>
        <v/>
      </c>
      <c r="M65" s="14">
        <f>IFERROR(IF(L65="","",IF(L65&gt;=0.9,"A*",IF(L65&gt;=0.8,"A",IF(L65&gt;=0.7,"B",IF(L65&gt;=0.6,"C",IF(L65&gt;=0.5,"D",IF(L65&gt;=0.4,"E",IF(L65&gt;=0.3,"F","U")))))))),"")</f>
        <v/>
      </c>
      <c r="N65" s="14">
        <f>IF(B65="","",IF(I65="",IF(AND(C65&lt;&gt;"",C65&lt;TODAY()),"❌ Missing","📝 Pending"),IF(AND(C65&lt;&gt;"",I65&gt;C65),"⏰ Late","✅ On Time")))</f>
        <v/>
      </c>
      <c r="O65" s="19">
        <f>IFERROR(IF(OR(I65="",C65=""),"",MAX(0,I65-C65)),"")</f>
        <v/>
      </c>
      <c r="P65" s="8" t="n"/>
    </row>
    <row r="66">
      <c r="A66" s="20">
        <f>IF(G66="","",COUNTA($G$5:G66))</f>
        <v/>
      </c>
      <c r="B66" s="21" t="n"/>
      <c r="C66" s="21" t="n"/>
      <c r="D66" s="22" t="n"/>
      <c r="E66" s="22" t="n"/>
      <c r="F66" s="22" t="n"/>
      <c r="G66" s="10" t="n"/>
      <c r="H66" s="22" t="n"/>
      <c r="I66" s="21" t="n"/>
      <c r="J66" s="23" t="n"/>
      <c r="K66" s="23" t="n"/>
      <c r="L66" s="24">
        <f>IFERROR(IF(OR(J66="",K66=""),"",J66/K66),"")</f>
        <v/>
      </c>
      <c r="M66" s="20">
        <f>IFERROR(IF(L66="","",IF(L66&gt;=0.9,"A*",IF(L66&gt;=0.8,"A",IF(L66&gt;=0.7,"B",IF(L66&gt;=0.6,"C",IF(L66&gt;=0.5,"D",IF(L66&gt;=0.4,"E",IF(L66&gt;=0.3,"F","U")))))))),"")</f>
        <v/>
      </c>
      <c r="N66" s="20">
        <f>IF(B66="","",IF(I66="",IF(AND(C66&lt;&gt;"",C66&lt;TODAY()),"❌ Missing","📝 Pending"),IF(AND(C66&lt;&gt;"",I66&gt;C66),"⏰ Late","✅ On Time")))</f>
        <v/>
      </c>
      <c r="O66" s="25">
        <f>IFERROR(IF(OR(I66="",C66=""),"",MAX(0,I66-C66)),"")</f>
        <v/>
      </c>
      <c r="P66" s="10" t="n"/>
    </row>
    <row r="67">
      <c r="A67" s="14">
        <f>IF(G67="","",COUNTA($G$5:G67))</f>
        <v/>
      </c>
      <c r="B67" s="15" t="n"/>
      <c r="C67" s="15" t="n"/>
      <c r="D67" s="16" t="n"/>
      <c r="E67" s="16" t="n"/>
      <c r="F67" s="16" t="n"/>
      <c r="G67" s="8" t="n"/>
      <c r="H67" s="16" t="n"/>
      <c r="I67" s="15" t="n"/>
      <c r="J67" s="17" t="n"/>
      <c r="K67" s="17" t="n"/>
      <c r="L67" s="18">
        <f>IFERROR(IF(OR(J67="",K67=""),"",J67/K67),"")</f>
        <v/>
      </c>
      <c r="M67" s="14">
        <f>IFERROR(IF(L67="","",IF(L67&gt;=0.9,"A*",IF(L67&gt;=0.8,"A",IF(L67&gt;=0.7,"B",IF(L67&gt;=0.6,"C",IF(L67&gt;=0.5,"D",IF(L67&gt;=0.4,"E",IF(L67&gt;=0.3,"F","U")))))))),"")</f>
        <v/>
      </c>
      <c r="N67" s="14">
        <f>IF(B67="","",IF(I67="",IF(AND(C67&lt;&gt;"",C67&lt;TODAY()),"❌ Missing","📝 Pending"),IF(AND(C67&lt;&gt;"",I67&gt;C67),"⏰ Late","✅ On Time")))</f>
        <v/>
      </c>
      <c r="O67" s="19">
        <f>IFERROR(IF(OR(I67="",C67=""),"",MAX(0,I67-C67)),"")</f>
        <v/>
      </c>
      <c r="P67" s="8" t="n"/>
    </row>
    <row r="68">
      <c r="A68" s="20">
        <f>IF(G68="","",COUNTA($G$5:G68))</f>
        <v/>
      </c>
      <c r="B68" s="21" t="n"/>
      <c r="C68" s="21" t="n"/>
      <c r="D68" s="22" t="n"/>
      <c r="E68" s="22" t="n"/>
      <c r="F68" s="22" t="n"/>
      <c r="G68" s="10" t="n"/>
      <c r="H68" s="22" t="n"/>
      <c r="I68" s="21" t="n"/>
      <c r="J68" s="23" t="n"/>
      <c r="K68" s="23" t="n"/>
      <c r="L68" s="24">
        <f>IFERROR(IF(OR(J68="",K68=""),"",J68/K68),"")</f>
        <v/>
      </c>
      <c r="M68" s="20">
        <f>IFERROR(IF(L68="","",IF(L68&gt;=0.9,"A*",IF(L68&gt;=0.8,"A",IF(L68&gt;=0.7,"B",IF(L68&gt;=0.6,"C",IF(L68&gt;=0.5,"D",IF(L68&gt;=0.4,"E",IF(L68&gt;=0.3,"F","U")))))))),"")</f>
        <v/>
      </c>
      <c r="N68" s="20">
        <f>IF(B68="","",IF(I68="",IF(AND(C68&lt;&gt;"",C68&lt;TODAY()),"❌ Missing","📝 Pending"),IF(AND(C68&lt;&gt;"",I68&gt;C68),"⏰ Late","✅ On Time")))</f>
        <v/>
      </c>
      <c r="O68" s="25">
        <f>IFERROR(IF(OR(I68="",C68=""),"",MAX(0,I68-C68)),"")</f>
        <v/>
      </c>
      <c r="P68" s="10" t="n"/>
    </row>
    <row r="69">
      <c r="A69" s="14">
        <f>IF(G69="","",COUNTA($G$5:G69))</f>
        <v/>
      </c>
      <c r="B69" s="15" t="n"/>
      <c r="C69" s="15" t="n"/>
      <c r="D69" s="16" t="n"/>
      <c r="E69" s="16" t="n"/>
      <c r="F69" s="16" t="n"/>
      <c r="G69" s="8" t="n"/>
      <c r="H69" s="16" t="n"/>
      <c r="I69" s="15" t="n"/>
      <c r="J69" s="17" t="n"/>
      <c r="K69" s="17" t="n"/>
      <c r="L69" s="18">
        <f>IFERROR(IF(OR(J69="",K69=""),"",J69/K69),"")</f>
        <v/>
      </c>
      <c r="M69" s="14">
        <f>IFERROR(IF(L69="","",IF(L69&gt;=0.9,"A*",IF(L69&gt;=0.8,"A",IF(L69&gt;=0.7,"B",IF(L69&gt;=0.6,"C",IF(L69&gt;=0.5,"D",IF(L69&gt;=0.4,"E",IF(L69&gt;=0.3,"F","U")))))))),"")</f>
        <v/>
      </c>
      <c r="N69" s="14">
        <f>IF(B69="","",IF(I69="",IF(AND(C69&lt;&gt;"",C69&lt;TODAY()),"❌ Missing","📝 Pending"),IF(AND(C69&lt;&gt;"",I69&gt;C69),"⏰ Late","✅ On Time")))</f>
        <v/>
      </c>
      <c r="O69" s="19">
        <f>IFERROR(IF(OR(I69="",C69=""),"",MAX(0,I69-C69)),"")</f>
        <v/>
      </c>
      <c r="P69" s="8" t="n"/>
    </row>
    <row r="70">
      <c r="A70" s="20">
        <f>IF(G70="","",COUNTA($G$5:G70))</f>
        <v/>
      </c>
      <c r="B70" s="21" t="n"/>
      <c r="C70" s="21" t="n"/>
      <c r="D70" s="22" t="n"/>
      <c r="E70" s="22" t="n"/>
      <c r="F70" s="22" t="n"/>
      <c r="G70" s="10" t="n"/>
      <c r="H70" s="22" t="n"/>
      <c r="I70" s="21" t="n"/>
      <c r="J70" s="23" t="n"/>
      <c r="K70" s="23" t="n"/>
      <c r="L70" s="24">
        <f>IFERROR(IF(OR(J70="",K70=""),"",J70/K70),"")</f>
        <v/>
      </c>
      <c r="M70" s="20">
        <f>IFERROR(IF(L70="","",IF(L70&gt;=0.9,"A*",IF(L70&gt;=0.8,"A",IF(L70&gt;=0.7,"B",IF(L70&gt;=0.6,"C",IF(L70&gt;=0.5,"D",IF(L70&gt;=0.4,"E",IF(L70&gt;=0.3,"F","U")))))))),"")</f>
        <v/>
      </c>
      <c r="N70" s="20">
        <f>IF(B70="","",IF(I70="",IF(AND(C70&lt;&gt;"",C70&lt;TODAY()),"❌ Missing","📝 Pending"),IF(AND(C70&lt;&gt;"",I70&gt;C70),"⏰ Late","✅ On Time")))</f>
        <v/>
      </c>
      <c r="O70" s="25">
        <f>IFERROR(IF(OR(I70="",C70=""),"",MAX(0,I70-C70)),"")</f>
        <v/>
      </c>
      <c r="P70" s="10" t="n"/>
    </row>
    <row r="71">
      <c r="A71" s="14">
        <f>IF(G71="","",COUNTA($G$5:G71))</f>
        <v/>
      </c>
      <c r="B71" s="15" t="n"/>
      <c r="C71" s="15" t="n"/>
      <c r="D71" s="16" t="n"/>
      <c r="E71" s="16" t="n"/>
      <c r="F71" s="16" t="n"/>
      <c r="G71" s="8" t="n"/>
      <c r="H71" s="16" t="n"/>
      <c r="I71" s="15" t="n"/>
      <c r="J71" s="17" t="n"/>
      <c r="K71" s="17" t="n"/>
      <c r="L71" s="18">
        <f>IFERROR(IF(OR(J71="",K71=""),"",J71/K71),"")</f>
        <v/>
      </c>
      <c r="M71" s="14">
        <f>IFERROR(IF(L71="","",IF(L71&gt;=0.9,"A*",IF(L71&gt;=0.8,"A",IF(L71&gt;=0.7,"B",IF(L71&gt;=0.6,"C",IF(L71&gt;=0.5,"D",IF(L71&gt;=0.4,"E",IF(L71&gt;=0.3,"F","U")))))))),"")</f>
        <v/>
      </c>
      <c r="N71" s="14">
        <f>IF(B71="","",IF(I71="",IF(AND(C71&lt;&gt;"",C71&lt;TODAY()),"❌ Missing","📝 Pending"),IF(AND(C71&lt;&gt;"",I71&gt;C71),"⏰ Late","✅ On Time")))</f>
        <v/>
      </c>
      <c r="O71" s="19">
        <f>IFERROR(IF(OR(I71="",C71=""),"",MAX(0,I71-C71)),"")</f>
        <v/>
      </c>
      <c r="P71" s="8" t="n"/>
    </row>
    <row r="72">
      <c r="A72" s="20">
        <f>IF(G72="","",COUNTA($G$5:G72))</f>
        <v/>
      </c>
      <c r="B72" s="21" t="n"/>
      <c r="C72" s="21" t="n"/>
      <c r="D72" s="22" t="n"/>
      <c r="E72" s="22" t="n"/>
      <c r="F72" s="22" t="n"/>
      <c r="G72" s="10" t="n"/>
      <c r="H72" s="22" t="n"/>
      <c r="I72" s="21" t="n"/>
      <c r="J72" s="23" t="n"/>
      <c r="K72" s="23" t="n"/>
      <c r="L72" s="24">
        <f>IFERROR(IF(OR(J72="",K72=""),"",J72/K72),"")</f>
        <v/>
      </c>
      <c r="M72" s="20">
        <f>IFERROR(IF(L72="","",IF(L72&gt;=0.9,"A*",IF(L72&gt;=0.8,"A",IF(L72&gt;=0.7,"B",IF(L72&gt;=0.6,"C",IF(L72&gt;=0.5,"D",IF(L72&gt;=0.4,"E",IF(L72&gt;=0.3,"F","U")))))))),"")</f>
        <v/>
      </c>
      <c r="N72" s="20">
        <f>IF(B72="","",IF(I72="",IF(AND(C72&lt;&gt;"",C72&lt;TODAY()),"❌ Missing","📝 Pending"),IF(AND(C72&lt;&gt;"",I72&gt;C72),"⏰ Late","✅ On Time")))</f>
        <v/>
      </c>
      <c r="O72" s="25">
        <f>IFERROR(IF(OR(I72="",C72=""),"",MAX(0,I72-C72)),"")</f>
        <v/>
      </c>
      <c r="P72" s="10" t="n"/>
    </row>
    <row r="73">
      <c r="A73" s="14">
        <f>IF(G73="","",COUNTA($G$5:G73))</f>
        <v/>
      </c>
      <c r="B73" s="15" t="n"/>
      <c r="C73" s="15" t="n"/>
      <c r="D73" s="16" t="n"/>
      <c r="E73" s="16" t="n"/>
      <c r="F73" s="16" t="n"/>
      <c r="G73" s="8" t="n"/>
      <c r="H73" s="16" t="n"/>
      <c r="I73" s="15" t="n"/>
      <c r="J73" s="17" t="n"/>
      <c r="K73" s="17" t="n"/>
      <c r="L73" s="18">
        <f>IFERROR(IF(OR(J73="",K73=""),"",J73/K73),"")</f>
        <v/>
      </c>
      <c r="M73" s="14">
        <f>IFERROR(IF(L73="","",IF(L73&gt;=0.9,"A*",IF(L73&gt;=0.8,"A",IF(L73&gt;=0.7,"B",IF(L73&gt;=0.6,"C",IF(L73&gt;=0.5,"D",IF(L73&gt;=0.4,"E",IF(L73&gt;=0.3,"F","U")))))))),"")</f>
        <v/>
      </c>
      <c r="N73" s="14">
        <f>IF(B73="","",IF(I73="",IF(AND(C73&lt;&gt;"",C73&lt;TODAY()),"❌ Missing","📝 Pending"),IF(AND(C73&lt;&gt;"",I73&gt;C73),"⏰ Late","✅ On Time")))</f>
        <v/>
      </c>
      <c r="O73" s="19">
        <f>IFERROR(IF(OR(I73="",C73=""),"",MAX(0,I73-C73)),"")</f>
        <v/>
      </c>
      <c r="P73" s="8" t="n"/>
    </row>
    <row r="74">
      <c r="A74" s="20">
        <f>IF(G74="","",COUNTA($G$5:G74))</f>
        <v/>
      </c>
      <c r="B74" s="21" t="n"/>
      <c r="C74" s="21" t="n"/>
      <c r="D74" s="22" t="n"/>
      <c r="E74" s="22" t="n"/>
      <c r="F74" s="22" t="n"/>
      <c r="G74" s="10" t="n"/>
      <c r="H74" s="22" t="n"/>
      <c r="I74" s="21" t="n"/>
      <c r="J74" s="23" t="n"/>
      <c r="K74" s="23" t="n"/>
      <c r="L74" s="24">
        <f>IFERROR(IF(OR(J74="",K74=""),"",J74/K74),"")</f>
        <v/>
      </c>
      <c r="M74" s="20">
        <f>IFERROR(IF(L74="","",IF(L74&gt;=0.9,"A*",IF(L74&gt;=0.8,"A",IF(L74&gt;=0.7,"B",IF(L74&gt;=0.6,"C",IF(L74&gt;=0.5,"D",IF(L74&gt;=0.4,"E",IF(L74&gt;=0.3,"F","U")))))))),"")</f>
        <v/>
      </c>
      <c r="N74" s="20">
        <f>IF(B74="","",IF(I74="",IF(AND(C74&lt;&gt;"",C74&lt;TODAY()),"❌ Missing","📝 Pending"),IF(AND(C74&lt;&gt;"",I74&gt;C74),"⏰ Late","✅ On Time")))</f>
        <v/>
      </c>
      <c r="O74" s="25">
        <f>IFERROR(IF(OR(I74="",C74=""),"",MAX(0,I74-C74)),"")</f>
        <v/>
      </c>
      <c r="P74" s="10" t="n"/>
    </row>
    <row r="75">
      <c r="A75" s="14">
        <f>IF(G75="","",COUNTA($G$5:G75))</f>
        <v/>
      </c>
      <c r="B75" s="15" t="n"/>
      <c r="C75" s="15" t="n"/>
      <c r="D75" s="16" t="n"/>
      <c r="E75" s="16" t="n"/>
      <c r="F75" s="16" t="n"/>
      <c r="G75" s="8" t="n"/>
      <c r="H75" s="16" t="n"/>
      <c r="I75" s="15" t="n"/>
      <c r="J75" s="17" t="n"/>
      <c r="K75" s="17" t="n"/>
      <c r="L75" s="18">
        <f>IFERROR(IF(OR(J75="",K75=""),"",J75/K75),"")</f>
        <v/>
      </c>
      <c r="M75" s="14">
        <f>IFERROR(IF(L75="","",IF(L75&gt;=0.9,"A*",IF(L75&gt;=0.8,"A",IF(L75&gt;=0.7,"B",IF(L75&gt;=0.6,"C",IF(L75&gt;=0.5,"D",IF(L75&gt;=0.4,"E",IF(L75&gt;=0.3,"F","U")))))))),"")</f>
        <v/>
      </c>
      <c r="N75" s="14">
        <f>IF(B75="","",IF(I75="",IF(AND(C75&lt;&gt;"",C75&lt;TODAY()),"❌ Missing","📝 Pending"),IF(AND(C75&lt;&gt;"",I75&gt;C75),"⏰ Late","✅ On Time")))</f>
        <v/>
      </c>
      <c r="O75" s="19">
        <f>IFERROR(IF(OR(I75="",C75=""),"",MAX(0,I75-C75)),"")</f>
        <v/>
      </c>
      <c r="P75" s="8" t="n"/>
    </row>
    <row r="76">
      <c r="A76" s="20">
        <f>IF(G76="","",COUNTA($G$5:G76))</f>
        <v/>
      </c>
      <c r="B76" s="21" t="n"/>
      <c r="C76" s="21" t="n"/>
      <c r="D76" s="22" t="n"/>
      <c r="E76" s="22" t="n"/>
      <c r="F76" s="22" t="n"/>
      <c r="G76" s="10" t="n"/>
      <c r="H76" s="22" t="n"/>
      <c r="I76" s="21" t="n"/>
      <c r="J76" s="23" t="n"/>
      <c r="K76" s="23" t="n"/>
      <c r="L76" s="24">
        <f>IFERROR(IF(OR(J76="",K76=""),"",J76/K76),"")</f>
        <v/>
      </c>
      <c r="M76" s="20">
        <f>IFERROR(IF(L76="","",IF(L76&gt;=0.9,"A*",IF(L76&gt;=0.8,"A",IF(L76&gt;=0.7,"B",IF(L76&gt;=0.6,"C",IF(L76&gt;=0.5,"D",IF(L76&gt;=0.4,"E",IF(L76&gt;=0.3,"F","U")))))))),"")</f>
        <v/>
      </c>
      <c r="N76" s="20">
        <f>IF(B76="","",IF(I76="",IF(AND(C76&lt;&gt;"",C76&lt;TODAY()),"❌ Missing","📝 Pending"),IF(AND(C76&lt;&gt;"",I76&gt;C76),"⏰ Late","✅ On Time")))</f>
        <v/>
      </c>
      <c r="O76" s="25">
        <f>IFERROR(IF(OR(I76="",C76=""),"",MAX(0,I76-C76)),"")</f>
        <v/>
      </c>
      <c r="P76" s="10" t="n"/>
    </row>
    <row r="77">
      <c r="A77" s="14">
        <f>IF(G77="","",COUNTA($G$5:G77))</f>
        <v/>
      </c>
      <c r="B77" s="15" t="n"/>
      <c r="C77" s="15" t="n"/>
      <c r="D77" s="16" t="n"/>
      <c r="E77" s="16" t="n"/>
      <c r="F77" s="16" t="n"/>
      <c r="G77" s="8" t="n"/>
      <c r="H77" s="16" t="n"/>
      <c r="I77" s="15" t="n"/>
      <c r="J77" s="17" t="n"/>
      <c r="K77" s="17" t="n"/>
      <c r="L77" s="18">
        <f>IFERROR(IF(OR(J77="",K77=""),"",J77/K77),"")</f>
        <v/>
      </c>
      <c r="M77" s="14">
        <f>IFERROR(IF(L77="","",IF(L77&gt;=0.9,"A*",IF(L77&gt;=0.8,"A",IF(L77&gt;=0.7,"B",IF(L77&gt;=0.6,"C",IF(L77&gt;=0.5,"D",IF(L77&gt;=0.4,"E",IF(L77&gt;=0.3,"F","U")))))))),"")</f>
        <v/>
      </c>
      <c r="N77" s="14">
        <f>IF(B77="","",IF(I77="",IF(AND(C77&lt;&gt;"",C77&lt;TODAY()),"❌ Missing","📝 Pending"),IF(AND(C77&lt;&gt;"",I77&gt;C77),"⏰ Late","✅ On Time")))</f>
        <v/>
      </c>
      <c r="O77" s="19">
        <f>IFERROR(IF(OR(I77="",C77=""),"",MAX(0,I77-C77)),"")</f>
        <v/>
      </c>
      <c r="P77" s="8" t="n"/>
    </row>
    <row r="78">
      <c r="A78" s="20">
        <f>IF(G78="","",COUNTA($G$5:G78))</f>
        <v/>
      </c>
      <c r="B78" s="21" t="n"/>
      <c r="C78" s="21" t="n"/>
      <c r="D78" s="22" t="n"/>
      <c r="E78" s="22" t="n"/>
      <c r="F78" s="22" t="n"/>
      <c r="G78" s="10" t="n"/>
      <c r="H78" s="22" t="n"/>
      <c r="I78" s="21" t="n"/>
      <c r="J78" s="23" t="n"/>
      <c r="K78" s="23" t="n"/>
      <c r="L78" s="24">
        <f>IFERROR(IF(OR(J78="",K78=""),"",J78/K78),"")</f>
        <v/>
      </c>
      <c r="M78" s="20">
        <f>IFERROR(IF(L78="","",IF(L78&gt;=0.9,"A*",IF(L78&gt;=0.8,"A",IF(L78&gt;=0.7,"B",IF(L78&gt;=0.6,"C",IF(L78&gt;=0.5,"D",IF(L78&gt;=0.4,"E",IF(L78&gt;=0.3,"F","U")))))))),"")</f>
        <v/>
      </c>
      <c r="N78" s="20">
        <f>IF(B78="","",IF(I78="",IF(AND(C78&lt;&gt;"",C78&lt;TODAY()),"❌ Missing","📝 Pending"),IF(AND(C78&lt;&gt;"",I78&gt;C78),"⏰ Late","✅ On Time")))</f>
        <v/>
      </c>
      <c r="O78" s="25">
        <f>IFERROR(IF(OR(I78="",C78=""),"",MAX(0,I78-C78)),"")</f>
        <v/>
      </c>
      <c r="P78" s="10" t="n"/>
    </row>
    <row r="79">
      <c r="A79" s="14">
        <f>IF(G79="","",COUNTA($G$5:G79))</f>
        <v/>
      </c>
      <c r="B79" s="15" t="n"/>
      <c r="C79" s="15" t="n"/>
      <c r="D79" s="16" t="n"/>
      <c r="E79" s="16" t="n"/>
      <c r="F79" s="16" t="n"/>
      <c r="G79" s="8" t="n"/>
      <c r="H79" s="16" t="n"/>
      <c r="I79" s="15" t="n"/>
      <c r="J79" s="17" t="n"/>
      <c r="K79" s="17" t="n"/>
      <c r="L79" s="18">
        <f>IFERROR(IF(OR(J79="",K79=""),"",J79/K79),"")</f>
        <v/>
      </c>
      <c r="M79" s="14">
        <f>IFERROR(IF(L79="","",IF(L79&gt;=0.9,"A*",IF(L79&gt;=0.8,"A",IF(L79&gt;=0.7,"B",IF(L79&gt;=0.6,"C",IF(L79&gt;=0.5,"D",IF(L79&gt;=0.4,"E",IF(L79&gt;=0.3,"F","U")))))))),"")</f>
        <v/>
      </c>
      <c r="N79" s="14">
        <f>IF(B79="","",IF(I79="",IF(AND(C79&lt;&gt;"",C79&lt;TODAY()),"❌ Missing","📝 Pending"),IF(AND(C79&lt;&gt;"",I79&gt;C79),"⏰ Late","✅ On Time")))</f>
        <v/>
      </c>
      <c r="O79" s="19">
        <f>IFERROR(IF(OR(I79="",C79=""),"",MAX(0,I79-C79)),"")</f>
        <v/>
      </c>
      <c r="P79" s="8" t="n"/>
    </row>
    <row r="80">
      <c r="A80" s="20">
        <f>IF(G80="","",COUNTA($G$5:G80))</f>
        <v/>
      </c>
      <c r="B80" s="21" t="n"/>
      <c r="C80" s="21" t="n"/>
      <c r="D80" s="22" t="n"/>
      <c r="E80" s="22" t="n"/>
      <c r="F80" s="22" t="n"/>
      <c r="G80" s="10" t="n"/>
      <c r="H80" s="22" t="n"/>
      <c r="I80" s="21" t="n"/>
      <c r="J80" s="23" t="n"/>
      <c r="K80" s="23" t="n"/>
      <c r="L80" s="24">
        <f>IFERROR(IF(OR(J80="",K80=""),"",J80/K80),"")</f>
        <v/>
      </c>
      <c r="M80" s="20">
        <f>IFERROR(IF(L80="","",IF(L80&gt;=0.9,"A*",IF(L80&gt;=0.8,"A",IF(L80&gt;=0.7,"B",IF(L80&gt;=0.6,"C",IF(L80&gt;=0.5,"D",IF(L80&gt;=0.4,"E",IF(L80&gt;=0.3,"F","U")))))))),"")</f>
        <v/>
      </c>
      <c r="N80" s="20">
        <f>IF(B80="","",IF(I80="",IF(AND(C80&lt;&gt;"",C80&lt;TODAY()),"❌ Missing","📝 Pending"),IF(AND(C80&lt;&gt;"",I80&gt;C80),"⏰ Late","✅ On Time")))</f>
        <v/>
      </c>
      <c r="O80" s="25">
        <f>IFERROR(IF(OR(I80="",C80=""),"",MAX(0,I80-C80)),"")</f>
        <v/>
      </c>
      <c r="P80" s="10" t="n"/>
    </row>
    <row r="81">
      <c r="A81" s="14">
        <f>IF(G81="","",COUNTA($G$5:G81))</f>
        <v/>
      </c>
      <c r="B81" s="15" t="n"/>
      <c r="C81" s="15" t="n"/>
      <c r="D81" s="16" t="n"/>
      <c r="E81" s="16" t="n"/>
      <c r="F81" s="16" t="n"/>
      <c r="G81" s="8" t="n"/>
      <c r="H81" s="16" t="n"/>
      <c r="I81" s="15" t="n"/>
      <c r="J81" s="17" t="n"/>
      <c r="K81" s="17" t="n"/>
      <c r="L81" s="18">
        <f>IFERROR(IF(OR(J81="",K81=""),"",J81/K81),"")</f>
        <v/>
      </c>
      <c r="M81" s="14">
        <f>IFERROR(IF(L81="","",IF(L81&gt;=0.9,"A*",IF(L81&gt;=0.8,"A",IF(L81&gt;=0.7,"B",IF(L81&gt;=0.6,"C",IF(L81&gt;=0.5,"D",IF(L81&gt;=0.4,"E",IF(L81&gt;=0.3,"F","U")))))))),"")</f>
        <v/>
      </c>
      <c r="N81" s="14">
        <f>IF(B81="","",IF(I81="",IF(AND(C81&lt;&gt;"",C81&lt;TODAY()),"❌ Missing","📝 Pending"),IF(AND(C81&lt;&gt;"",I81&gt;C81),"⏰ Late","✅ On Time")))</f>
        <v/>
      </c>
      <c r="O81" s="19">
        <f>IFERROR(IF(OR(I81="",C81=""),"",MAX(0,I81-C81)),"")</f>
        <v/>
      </c>
      <c r="P81" s="8" t="n"/>
    </row>
    <row r="82">
      <c r="A82" s="20">
        <f>IF(G82="","",COUNTA($G$5:G82))</f>
        <v/>
      </c>
      <c r="B82" s="21" t="n"/>
      <c r="C82" s="21" t="n"/>
      <c r="D82" s="22" t="n"/>
      <c r="E82" s="22" t="n"/>
      <c r="F82" s="22" t="n"/>
      <c r="G82" s="10" t="n"/>
      <c r="H82" s="22" t="n"/>
      <c r="I82" s="21" t="n"/>
      <c r="J82" s="23" t="n"/>
      <c r="K82" s="23" t="n"/>
      <c r="L82" s="24">
        <f>IFERROR(IF(OR(J82="",K82=""),"",J82/K82),"")</f>
        <v/>
      </c>
      <c r="M82" s="20">
        <f>IFERROR(IF(L82="","",IF(L82&gt;=0.9,"A*",IF(L82&gt;=0.8,"A",IF(L82&gt;=0.7,"B",IF(L82&gt;=0.6,"C",IF(L82&gt;=0.5,"D",IF(L82&gt;=0.4,"E",IF(L82&gt;=0.3,"F","U")))))))),"")</f>
        <v/>
      </c>
      <c r="N82" s="20">
        <f>IF(B82="","",IF(I82="",IF(AND(C82&lt;&gt;"",C82&lt;TODAY()),"❌ Missing","📝 Pending"),IF(AND(C82&lt;&gt;"",I82&gt;C82),"⏰ Late","✅ On Time")))</f>
        <v/>
      </c>
      <c r="O82" s="25">
        <f>IFERROR(IF(OR(I82="",C82=""),"",MAX(0,I82-C82)),"")</f>
        <v/>
      </c>
      <c r="P82" s="10" t="n"/>
    </row>
    <row r="83">
      <c r="A83" s="14">
        <f>IF(G83="","",COUNTA($G$5:G83))</f>
        <v/>
      </c>
      <c r="B83" s="15" t="n"/>
      <c r="C83" s="15" t="n"/>
      <c r="D83" s="16" t="n"/>
      <c r="E83" s="16" t="n"/>
      <c r="F83" s="16" t="n"/>
      <c r="G83" s="8" t="n"/>
      <c r="H83" s="16" t="n"/>
      <c r="I83" s="15" t="n"/>
      <c r="J83" s="17" t="n"/>
      <c r="K83" s="17" t="n"/>
      <c r="L83" s="18">
        <f>IFERROR(IF(OR(J83="",K83=""),"",J83/K83),"")</f>
        <v/>
      </c>
      <c r="M83" s="14">
        <f>IFERROR(IF(L83="","",IF(L83&gt;=0.9,"A*",IF(L83&gt;=0.8,"A",IF(L83&gt;=0.7,"B",IF(L83&gt;=0.6,"C",IF(L83&gt;=0.5,"D",IF(L83&gt;=0.4,"E",IF(L83&gt;=0.3,"F","U")))))))),"")</f>
        <v/>
      </c>
      <c r="N83" s="14">
        <f>IF(B83="","",IF(I83="",IF(AND(C83&lt;&gt;"",C83&lt;TODAY()),"❌ Missing","📝 Pending"),IF(AND(C83&lt;&gt;"",I83&gt;C83),"⏰ Late","✅ On Time")))</f>
        <v/>
      </c>
      <c r="O83" s="19">
        <f>IFERROR(IF(OR(I83="",C83=""),"",MAX(0,I83-C83)),"")</f>
        <v/>
      </c>
      <c r="P83" s="8" t="n"/>
    </row>
    <row r="84">
      <c r="A84" s="20">
        <f>IF(G84="","",COUNTA($G$5:G84))</f>
        <v/>
      </c>
      <c r="B84" s="21" t="n"/>
      <c r="C84" s="21" t="n"/>
      <c r="D84" s="22" t="n"/>
      <c r="E84" s="22" t="n"/>
      <c r="F84" s="22" t="n"/>
      <c r="G84" s="10" t="n"/>
      <c r="H84" s="22" t="n"/>
      <c r="I84" s="21" t="n"/>
      <c r="J84" s="23" t="n"/>
      <c r="K84" s="23" t="n"/>
      <c r="L84" s="24">
        <f>IFERROR(IF(OR(J84="",K84=""),"",J84/K84),"")</f>
        <v/>
      </c>
      <c r="M84" s="20">
        <f>IFERROR(IF(L84="","",IF(L84&gt;=0.9,"A*",IF(L84&gt;=0.8,"A",IF(L84&gt;=0.7,"B",IF(L84&gt;=0.6,"C",IF(L84&gt;=0.5,"D",IF(L84&gt;=0.4,"E",IF(L84&gt;=0.3,"F","U")))))))),"")</f>
        <v/>
      </c>
      <c r="N84" s="20">
        <f>IF(B84="","",IF(I84="",IF(AND(C84&lt;&gt;"",C84&lt;TODAY()),"❌ Missing","📝 Pending"),IF(AND(C84&lt;&gt;"",I84&gt;C84),"⏰ Late","✅ On Time")))</f>
        <v/>
      </c>
      <c r="O84" s="25">
        <f>IFERROR(IF(OR(I84="",C84=""),"",MAX(0,I84-C84)),"")</f>
        <v/>
      </c>
      <c r="P84" s="10" t="n"/>
    </row>
    <row r="85">
      <c r="A85" s="14">
        <f>IF(G85="","",COUNTA($G$5:G85))</f>
        <v/>
      </c>
      <c r="B85" s="15" t="n"/>
      <c r="C85" s="15" t="n"/>
      <c r="D85" s="16" t="n"/>
      <c r="E85" s="16" t="n"/>
      <c r="F85" s="16" t="n"/>
      <c r="G85" s="8" t="n"/>
      <c r="H85" s="16" t="n"/>
      <c r="I85" s="15" t="n"/>
      <c r="J85" s="17" t="n"/>
      <c r="K85" s="17" t="n"/>
      <c r="L85" s="18">
        <f>IFERROR(IF(OR(J85="",K85=""),"",J85/K85),"")</f>
        <v/>
      </c>
      <c r="M85" s="14">
        <f>IFERROR(IF(L85="","",IF(L85&gt;=0.9,"A*",IF(L85&gt;=0.8,"A",IF(L85&gt;=0.7,"B",IF(L85&gt;=0.6,"C",IF(L85&gt;=0.5,"D",IF(L85&gt;=0.4,"E",IF(L85&gt;=0.3,"F","U")))))))),"")</f>
        <v/>
      </c>
      <c r="N85" s="14">
        <f>IF(B85="","",IF(I85="",IF(AND(C85&lt;&gt;"",C85&lt;TODAY()),"❌ Missing","📝 Pending"),IF(AND(C85&lt;&gt;"",I85&gt;C85),"⏰ Late","✅ On Time")))</f>
        <v/>
      </c>
      <c r="O85" s="19">
        <f>IFERROR(IF(OR(I85="",C85=""),"",MAX(0,I85-C85)),"")</f>
        <v/>
      </c>
      <c r="P85" s="8" t="n"/>
    </row>
    <row r="86">
      <c r="A86" s="20">
        <f>IF(G86="","",COUNTA($G$5:G86))</f>
        <v/>
      </c>
      <c r="B86" s="21" t="n"/>
      <c r="C86" s="21" t="n"/>
      <c r="D86" s="22" t="n"/>
      <c r="E86" s="22" t="n"/>
      <c r="F86" s="22" t="n"/>
      <c r="G86" s="10" t="n"/>
      <c r="H86" s="22" t="n"/>
      <c r="I86" s="21" t="n"/>
      <c r="J86" s="23" t="n"/>
      <c r="K86" s="23" t="n"/>
      <c r="L86" s="24">
        <f>IFERROR(IF(OR(J86="",K86=""),"",J86/K86),"")</f>
        <v/>
      </c>
      <c r="M86" s="20">
        <f>IFERROR(IF(L86="","",IF(L86&gt;=0.9,"A*",IF(L86&gt;=0.8,"A",IF(L86&gt;=0.7,"B",IF(L86&gt;=0.6,"C",IF(L86&gt;=0.5,"D",IF(L86&gt;=0.4,"E",IF(L86&gt;=0.3,"F","U")))))))),"")</f>
        <v/>
      </c>
      <c r="N86" s="20">
        <f>IF(B86="","",IF(I86="",IF(AND(C86&lt;&gt;"",C86&lt;TODAY()),"❌ Missing","📝 Pending"),IF(AND(C86&lt;&gt;"",I86&gt;C86),"⏰ Late","✅ On Time")))</f>
        <v/>
      </c>
      <c r="O86" s="25">
        <f>IFERROR(IF(OR(I86="",C86=""),"",MAX(0,I86-C86)),"")</f>
        <v/>
      </c>
      <c r="P86" s="10" t="n"/>
    </row>
    <row r="87">
      <c r="A87" s="14">
        <f>IF(G87="","",COUNTA($G$5:G87))</f>
        <v/>
      </c>
      <c r="B87" s="15" t="n"/>
      <c r="C87" s="15" t="n"/>
      <c r="D87" s="16" t="n"/>
      <c r="E87" s="16" t="n"/>
      <c r="F87" s="16" t="n"/>
      <c r="G87" s="8" t="n"/>
      <c r="H87" s="16" t="n"/>
      <c r="I87" s="15" t="n"/>
      <c r="J87" s="17" t="n"/>
      <c r="K87" s="17" t="n"/>
      <c r="L87" s="18">
        <f>IFERROR(IF(OR(J87="",K87=""),"",J87/K87),"")</f>
        <v/>
      </c>
      <c r="M87" s="14">
        <f>IFERROR(IF(L87="","",IF(L87&gt;=0.9,"A*",IF(L87&gt;=0.8,"A",IF(L87&gt;=0.7,"B",IF(L87&gt;=0.6,"C",IF(L87&gt;=0.5,"D",IF(L87&gt;=0.4,"E",IF(L87&gt;=0.3,"F","U")))))))),"")</f>
        <v/>
      </c>
      <c r="N87" s="14">
        <f>IF(B87="","",IF(I87="",IF(AND(C87&lt;&gt;"",C87&lt;TODAY()),"❌ Missing","📝 Pending"),IF(AND(C87&lt;&gt;"",I87&gt;C87),"⏰ Late","✅ On Time")))</f>
        <v/>
      </c>
      <c r="O87" s="19">
        <f>IFERROR(IF(OR(I87="",C87=""),"",MAX(0,I87-C87)),"")</f>
        <v/>
      </c>
      <c r="P87" s="8" t="n"/>
    </row>
    <row r="88">
      <c r="A88" s="20">
        <f>IF(G88="","",COUNTA($G$5:G88))</f>
        <v/>
      </c>
      <c r="B88" s="21" t="n"/>
      <c r="C88" s="21" t="n"/>
      <c r="D88" s="22" t="n"/>
      <c r="E88" s="22" t="n"/>
      <c r="F88" s="22" t="n"/>
      <c r="G88" s="10" t="n"/>
      <c r="H88" s="22" t="n"/>
      <c r="I88" s="21" t="n"/>
      <c r="J88" s="23" t="n"/>
      <c r="K88" s="23" t="n"/>
      <c r="L88" s="24">
        <f>IFERROR(IF(OR(J88="",K88=""),"",J88/K88),"")</f>
        <v/>
      </c>
      <c r="M88" s="20">
        <f>IFERROR(IF(L88="","",IF(L88&gt;=0.9,"A*",IF(L88&gt;=0.8,"A",IF(L88&gt;=0.7,"B",IF(L88&gt;=0.6,"C",IF(L88&gt;=0.5,"D",IF(L88&gt;=0.4,"E",IF(L88&gt;=0.3,"F","U")))))))),"")</f>
        <v/>
      </c>
      <c r="N88" s="20">
        <f>IF(B88="","",IF(I88="",IF(AND(C88&lt;&gt;"",C88&lt;TODAY()),"❌ Missing","📝 Pending"),IF(AND(C88&lt;&gt;"",I88&gt;C88),"⏰ Late","✅ On Time")))</f>
        <v/>
      </c>
      <c r="O88" s="25">
        <f>IFERROR(IF(OR(I88="",C88=""),"",MAX(0,I88-C88)),"")</f>
        <v/>
      </c>
      <c r="P88" s="10" t="n"/>
    </row>
    <row r="89">
      <c r="A89" s="14">
        <f>IF(G89="","",COUNTA($G$5:G89))</f>
        <v/>
      </c>
      <c r="B89" s="15" t="n"/>
      <c r="C89" s="15" t="n"/>
      <c r="D89" s="16" t="n"/>
      <c r="E89" s="16" t="n"/>
      <c r="F89" s="16" t="n"/>
      <c r="G89" s="8" t="n"/>
      <c r="H89" s="16" t="n"/>
      <c r="I89" s="15" t="n"/>
      <c r="J89" s="17" t="n"/>
      <c r="K89" s="17" t="n"/>
      <c r="L89" s="18">
        <f>IFERROR(IF(OR(J89="",K89=""),"",J89/K89),"")</f>
        <v/>
      </c>
      <c r="M89" s="14">
        <f>IFERROR(IF(L89="","",IF(L89&gt;=0.9,"A*",IF(L89&gt;=0.8,"A",IF(L89&gt;=0.7,"B",IF(L89&gt;=0.6,"C",IF(L89&gt;=0.5,"D",IF(L89&gt;=0.4,"E",IF(L89&gt;=0.3,"F","U")))))))),"")</f>
        <v/>
      </c>
      <c r="N89" s="14">
        <f>IF(B89="","",IF(I89="",IF(AND(C89&lt;&gt;"",C89&lt;TODAY()),"❌ Missing","📝 Pending"),IF(AND(C89&lt;&gt;"",I89&gt;C89),"⏰ Late","✅ On Time")))</f>
        <v/>
      </c>
      <c r="O89" s="19">
        <f>IFERROR(IF(OR(I89="",C89=""),"",MAX(0,I89-C89)),"")</f>
        <v/>
      </c>
      <c r="P89" s="8" t="n"/>
    </row>
    <row r="90">
      <c r="A90" s="20">
        <f>IF(G90="","",COUNTA($G$5:G90))</f>
        <v/>
      </c>
      <c r="B90" s="21" t="n"/>
      <c r="C90" s="21" t="n"/>
      <c r="D90" s="22" t="n"/>
      <c r="E90" s="22" t="n"/>
      <c r="F90" s="22" t="n"/>
      <c r="G90" s="10" t="n"/>
      <c r="H90" s="22" t="n"/>
      <c r="I90" s="21" t="n"/>
      <c r="J90" s="23" t="n"/>
      <c r="K90" s="23" t="n"/>
      <c r="L90" s="24">
        <f>IFERROR(IF(OR(J90="",K90=""),"",J90/K90),"")</f>
        <v/>
      </c>
      <c r="M90" s="20">
        <f>IFERROR(IF(L90="","",IF(L90&gt;=0.9,"A*",IF(L90&gt;=0.8,"A",IF(L90&gt;=0.7,"B",IF(L90&gt;=0.6,"C",IF(L90&gt;=0.5,"D",IF(L90&gt;=0.4,"E",IF(L90&gt;=0.3,"F","U")))))))),"")</f>
        <v/>
      </c>
      <c r="N90" s="20">
        <f>IF(B90="","",IF(I90="",IF(AND(C90&lt;&gt;"",C90&lt;TODAY()),"❌ Missing","📝 Pending"),IF(AND(C90&lt;&gt;"",I90&gt;C90),"⏰ Late","✅ On Time")))</f>
        <v/>
      </c>
      <c r="O90" s="25">
        <f>IFERROR(IF(OR(I90="",C90=""),"",MAX(0,I90-C90)),"")</f>
        <v/>
      </c>
      <c r="P90" s="10" t="n"/>
    </row>
    <row r="91">
      <c r="A91" s="14">
        <f>IF(G91="","",COUNTA($G$5:G91))</f>
        <v/>
      </c>
      <c r="B91" s="15" t="n"/>
      <c r="C91" s="15" t="n"/>
      <c r="D91" s="16" t="n"/>
      <c r="E91" s="16" t="n"/>
      <c r="F91" s="16" t="n"/>
      <c r="G91" s="8" t="n"/>
      <c r="H91" s="16" t="n"/>
      <c r="I91" s="15" t="n"/>
      <c r="J91" s="17" t="n"/>
      <c r="K91" s="17" t="n"/>
      <c r="L91" s="18">
        <f>IFERROR(IF(OR(J91="",K91=""),"",J91/K91),"")</f>
        <v/>
      </c>
      <c r="M91" s="14">
        <f>IFERROR(IF(L91="","",IF(L91&gt;=0.9,"A*",IF(L91&gt;=0.8,"A",IF(L91&gt;=0.7,"B",IF(L91&gt;=0.6,"C",IF(L91&gt;=0.5,"D",IF(L91&gt;=0.4,"E",IF(L91&gt;=0.3,"F","U")))))))),"")</f>
        <v/>
      </c>
      <c r="N91" s="14">
        <f>IF(B91="","",IF(I91="",IF(AND(C91&lt;&gt;"",C91&lt;TODAY()),"❌ Missing","📝 Pending"),IF(AND(C91&lt;&gt;"",I91&gt;C91),"⏰ Late","✅ On Time")))</f>
        <v/>
      </c>
      <c r="O91" s="19">
        <f>IFERROR(IF(OR(I91="",C91=""),"",MAX(0,I91-C91)),"")</f>
        <v/>
      </c>
      <c r="P91" s="8" t="n"/>
    </row>
    <row r="92">
      <c r="A92" s="20">
        <f>IF(G92="","",COUNTA($G$5:G92))</f>
        <v/>
      </c>
      <c r="B92" s="21" t="n"/>
      <c r="C92" s="21" t="n"/>
      <c r="D92" s="22" t="n"/>
      <c r="E92" s="22" t="n"/>
      <c r="F92" s="22" t="n"/>
      <c r="G92" s="10" t="n"/>
      <c r="H92" s="22" t="n"/>
      <c r="I92" s="21" t="n"/>
      <c r="J92" s="23" t="n"/>
      <c r="K92" s="23" t="n"/>
      <c r="L92" s="24">
        <f>IFERROR(IF(OR(J92="",K92=""),"",J92/K92),"")</f>
        <v/>
      </c>
      <c r="M92" s="20">
        <f>IFERROR(IF(L92="","",IF(L92&gt;=0.9,"A*",IF(L92&gt;=0.8,"A",IF(L92&gt;=0.7,"B",IF(L92&gt;=0.6,"C",IF(L92&gt;=0.5,"D",IF(L92&gt;=0.4,"E",IF(L92&gt;=0.3,"F","U")))))))),"")</f>
        <v/>
      </c>
      <c r="N92" s="20">
        <f>IF(B92="","",IF(I92="",IF(AND(C92&lt;&gt;"",C92&lt;TODAY()),"❌ Missing","📝 Pending"),IF(AND(C92&lt;&gt;"",I92&gt;C92),"⏰ Late","✅ On Time")))</f>
        <v/>
      </c>
      <c r="O92" s="25">
        <f>IFERROR(IF(OR(I92="",C92=""),"",MAX(0,I92-C92)),"")</f>
        <v/>
      </c>
      <c r="P92" s="10" t="n"/>
    </row>
    <row r="93">
      <c r="A93" s="14">
        <f>IF(G93="","",COUNTA($G$5:G93))</f>
        <v/>
      </c>
      <c r="B93" s="15" t="n"/>
      <c r="C93" s="15" t="n"/>
      <c r="D93" s="16" t="n"/>
      <c r="E93" s="16" t="n"/>
      <c r="F93" s="16" t="n"/>
      <c r="G93" s="8" t="n"/>
      <c r="H93" s="16" t="n"/>
      <c r="I93" s="15" t="n"/>
      <c r="J93" s="17" t="n"/>
      <c r="K93" s="17" t="n"/>
      <c r="L93" s="18">
        <f>IFERROR(IF(OR(J93="",K93=""),"",J93/K93),"")</f>
        <v/>
      </c>
      <c r="M93" s="14">
        <f>IFERROR(IF(L93="","",IF(L93&gt;=0.9,"A*",IF(L93&gt;=0.8,"A",IF(L93&gt;=0.7,"B",IF(L93&gt;=0.6,"C",IF(L93&gt;=0.5,"D",IF(L93&gt;=0.4,"E",IF(L93&gt;=0.3,"F","U")))))))),"")</f>
        <v/>
      </c>
      <c r="N93" s="14">
        <f>IF(B93="","",IF(I93="",IF(AND(C93&lt;&gt;"",C93&lt;TODAY()),"❌ Missing","📝 Pending"),IF(AND(C93&lt;&gt;"",I93&gt;C93),"⏰ Late","✅ On Time")))</f>
        <v/>
      </c>
      <c r="O93" s="19">
        <f>IFERROR(IF(OR(I93="",C93=""),"",MAX(0,I93-C93)),"")</f>
        <v/>
      </c>
      <c r="P93" s="8" t="n"/>
    </row>
    <row r="94">
      <c r="A94" s="20">
        <f>IF(G94="","",COUNTA($G$5:G94))</f>
        <v/>
      </c>
      <c r="B94" s="21" t="n"/>
      <c r="C94" s="21" t="n"/>
      <c r="D94" s="22" t="n"/>
      <c r="E94" s="22" t="n"/>
      <c r="F94" s="22" t="n"/>
      <c r="G94" s="10" t="n"/>
      <c r="H94" s="22" t="n"/>
      <c r="I94" s="21" t="n"/>
      <c r="J94" s="23" t="n"/>
      <c r="K94" s="23" t="n"/>
      <c r="L94" s="24">
        <f>IFERROR(IF(OR(J94="",K94=""),"",J94/K94),"")</f>
        <v/>
      </c>
      <c r="M94" s="20">
        <f>IFERROR(IF(L94="","",IF(L94&gt;=0.9,"A*",IF(L94&gt;=0.8,"A",IF(L94&gt;=0.7,"B",IF(L94&gt;=0.6,"C",IF(L94&gt;=0.5,"D",IF(L94&gt;=0.4,"E",IF(L94&gt;=0.3,"F","U")))))))),"")</f>
        <v/>
      </c>
      <c r="N94" s="20">
        <f>IF(B94="","",IF(I94="",IF(AND(C94&lt;&gt;"",C94&lt;TODAY()),"❌ Missing","📝 Pending"),IF(AND(C94&lt;&gt;"",I94&gt;C94),"⏰ Late","✅ On Time")))</f>
        <v/>
      </c>
      <c r="O94" s="25">
        <f>IFERROR(IF(OR(I94="",C94=""),"",MAX(0,I94-C94)),"")</f>
        <v/>
      </c>
      <c r="P94" s="10" t="n"/>
    </row>
    <row r="95">
      <c r="A95" s="14">
        <f>IF(G95="","",COUNTA($G$5:G95))</f>
        <v/>
      </c>
      <c r="B95" s="15" t="n"/>
      <c r="C95" s="15" t="n"/>
      <c r="D95" s="16" t="n"/>
      <c r="E95" s="16" t="n"/>
      <c r="F95" s="16" t="n"/>
      <c r="G95" s="8" t="n"/>
      <c r="H95" s="16" t="n"/>
      <c r="I95" s="15" t="n"/>
      <c r="J95" s="17" t="n"/>
      <c r="K95" s="17" t="n"/>
      <c r="L95" s="18">
        <f>IFERROR(IF(OR(J95="",K95=""),"",J95/K95),"")</f>
        <v/>
      </c>
      <c r="M95" s="14">
        <f>IFERROR(IF(L95="","",IF(L95&gt;=0.9,"A*",IF(L95&gt;=0.8,"A",IF(L95&gt;=0.7,"B",IF(L95&gt;=0.6,"C",IF(L95&gt;=0.5,"D",IF(L95&gt;=0.4,"E",IF(L95&gt;=0.3,"F","U")))))))),"")</f>
        <v/>
      </c>
      <c r="N95" s="14">
        <f>IF(B95="","",IF(I95="",IF(AND(C95&lt;&gt;"",C95&lt;TODAY()),"❌ Missing","📝 Pending"),IF(AND(C95&lt;&gt;"",I95&gt;C95),"⏰ Late","✅ On Time")))</f>
        <v/>
      </c>
      <c r="O95" s="19">
        <f>IFERROR(IF(OR(I95="",C95=""),"",MAX(0,I95-C95)),"")</f>
        <v/>
      </c>
      <c r="P95" s="8" t="n"/>
    </row>
    <row r="96">
      <c r="A96" s="20">
        <f>IF(G96="","",COUNTA($G$5:G96))</f>
        <v/>
      </c>
      <c r="B96" s="21" t="n"/>
      <c r="C96" s="21" t="n"/>
      <c r="D96" s="22" t="n"/>
      <c r="E96" s="22" t="n"/>
      <c r="F96" s="22" t="n"/>
      <c r="G96" s="10" t="n"/>
      <c r="H96" s="22" t="n"/>
      <c r="I96" s="21" t="n"/>
      <c r="J96" s="23" t="n"/>
      <c r="K96" s="23" t="n"/>
      <c r="L96" s="24">
        <f>IFERROR(IF(OR(J96="",K96=""),"",J96/K96),"")</f>
        <v/>
      </c>
      <c r="M96" s="20">
        <f>IFERROR(IF(L96="","",IF(L96&gt;=0.9,"A*",IF(L96&gt;=0.8,"A",IF(L96&gt;=0.7,"B",IF(L96&gt;=0.6,"C",IF(L96&gt;=0.5,"D",IF(L96&gt;=0.4,"E",IF(L96&gt;=0.3,"F","U")))))))),"")</f>
        <v/>
      </c>
      <c r="N96" s="20">
        <f>IF(B96="","",IF(I96="",IF(AND(C96&lt;&gt;"",C96&lt;TODAY()),"❌ Missing","📝 Pending"),IF(AND(C96&lt;&gt;"",I96&gt;C96),"⏰ Late","✅ On Time")))</f>
        <v/>
      </c>
      <c r="O96" s="25">
        <f>IFERROR(IF(OR(I96="",C96=""),"",MAX(0,I96-C96)),"")</f>
        <v/>
      </c>
      <c r="P96" s="10" t="n"/>
    </row>
    <row r="97">
      <c r="A97" s="14">
        <f>IF(G97="","",COUNTA($G$5:G97))</f>
        <v/>
      </c>
      <c r="B97" s="15" t="n"/>
      <c r="C97" s="15" t="n"/>
      <c r="D97" s="16" t="n"/>
      <c r="E97" s="16" t="n"/>
      <c r="F97" s="16" t="n"/>
      <c r="G97" s="8" t="n"/>
      <c r="H97" s="16" t="n"/>
      <c r="I97" s="15" t="n"/>
      <c r="J97" s="17" t="n"/>
      <c r="K97" s="17" t="n"/>
      <c r="L97" s="18">
        <f>IFERROR(IF(OR(J97="",K97=""),"",J97/K97),"")</f>
        <v/>
      </c>
      <c r="M97" s="14">
        <f>IFERROR(IF(L97="","",IF(L97&gt;=0.9,"A*",IF(L97&gt;=0.8,"A",IF(L97&gt;=0.7,"B",IF(L97&gt;=0.6,"C",IF(L97&gt;=0.5,"D",IF(L97&gt;=0.4,"E",IF(L97&gt;=0.3,"F","U")))))))),"")</f>
        <v/>
      </c>
      <c r="N97" s="14">
        <f>IF(B97="","",IF(I97="",IF(AND(C97&lt;&gt;"",C97&lt;TODAY()),"❌ Missing","📝 Pending"),IF(AND(C97&lt;&gt;"",I97&gt;C97),"⏰ Late","✅ On Time")))</f>
        <v/>
      </c>
      <c r="O97" s="19">
        <f>IFERROR(IF(OR(I97="",C97=""),"",MAX(0,I97-C97)),"")</f>
        <v/>
      </c>
      <c r="P97" s="8" t="n"/>
    </row>
    <row r="98">
      <c r="A98" s="20">
        <f>IF(G98="","",COUNTA($G$5:G98))</f>
        <v/>
      </c>
      <c r="B98" s="21" t="n"/>
      <c r="C98" s="21" t="n"/>
      <c r="D98" s="22" t="n"/>
      <c r="E98" s="22" t="n"/>
      <c r="F98" s="22" t="n"/>
      <c r="G98" s="10" t="n"/>
      <c r="H98" s="22" t="n"/>
      <c r="I98" s="21" t="n"/>
      <c r="J98" s="23" t="n"/>
      <c r="K98" s="23" t="n"/>
      <c r="L98" s="24">
        <f>IFERROR(IF(OR(J98="",K98=""),"",J98/K98),"")</f>
        <v/>
      </c>
      <c r="M98" s="20">
        <f>IFERROR(IF(L98="","",IF(L98&gt;=0.9,"A*",IF(L98&gt;=0.8,"A",IF(L98&gt;=0.7,"B",IF(L98&gt;=0.6,"C",IF(L98&gt;=0.5,"D",IF(L98&gt;=0.4,"E",IF(L98&gt;=0.3,"F","U")))))))),"")</f>
        <v/>
      </c>
      <c r="N98" s="20">
        <f>IF(B98="","",IF(I98="",IF(AND(C98&lt;&gt;"",C98&lt;TODAY()),"❌ Missing","📝 Pending"),IF(AND(C98&lt;&gt;"",I98&gt;C98),"⏰ Late","✅ On Time")))</f>
        <v/>
      </c>
      <c r="O98" s="25">
        <f>IFERROR(IF(OR(I98="",C98=""),"",MAX(0,I98-C98)),"")</f>
        <v/>
      </c>
      <c r="P98" s="10" t="n"/>
    </row>
    <row r="99">
      <c r="A99" s="14">
        <f>IF(G99="","",COUNTA($G$5:G99))</f>
        <v/>
      </c>
      <c r="B99" s="15" t="n"/>
      <c r="C99" s="15" t="n"/>
      <c r="D99" s="16" t="n"/>
      <c r="E99" s="16" t="n"/>
      <c r="F99" s="16" t="n"/>
      <c r="G99" s="8" t="n"/>
      <c r="H99" s="16" t="n"/>
      <c r="I99" s="15" t="n"/>
      <c r="J99" s="17" t="n"/>
      <c r="K99" s="17" t="n"/>
      <c r="L99" s="18">
        <f>IFERROR(IF(OR(J99="",K99=""),"",J99/K99),"")</f>
        <v/>
      </c>
      <c r="M99" s="14">
        <f>IFERROR(IF(L99="","",IF(L99&gt;=0.9,"A*",IF(L99&gt;=0.8,"A",IF(L99&gt;=0.7,"B",IF(L99&gt;=0.6,"C",IF(L99&gt;=0.5,"D",IF(L99&gt;=0.4,"E",IF(L99&gt;=0.3,"F","U")))))))),"")</f>
        <v/>
      </c>
      <c r="N99" s="14">
        <f>IF(B99="","",IF(I99="",IF(AND(C99&lt;&gt;"",C99&lt;TODAY()),"❌ Missing","📝 Pending"),IF(AND(C99&lt;&gt;"",I99&gt;C99),"⏰ Late","✅ On Time")))</f>
        <v/>
      </c>
      <c r="O99" s="19">
        <f>IFERROR(IF(OR(I99="",C99=""),"",MAX(0,I99-C99)),"")</f>
        <v/>
      </c>
      <c r="P99" s="8" t="n"/>
    </row>
    <row r="100">
      <c r="A100" s="20">
        <f>IF(G100="","",COUNTA($G$5:G100))</f>
        <v/>
      </c>
      <c r="B100" s="21" t="n"/>
      <c r="C100" s="21" t="n"/>
      <c r="D100" s="22" t="n"/>
      <c r="E100" s="22" t="n"/>
      <c r="F100" s="22" t="n"/>
      <c r="G100" s="10" t="n"/>
      <c r="H100" s="22" t="n"/>
      <c r="I100" s="21" t="n"/>
      <c r="J100" s="23" t="n"/>
      <c r="K100" s="23" t="n"/>
      <c r="L100" s="24">
        <f>IFERROR(IF(OR(J100="",K100=""),"",J100/K100),"")</f>
        <v/>
      </c>
      <c r="M100" s="20">
        <f>IFERROR(IF(L100="","",IF(L100&gt;=0.9,"A*",IF(L100&gt;=0.8,"A",IF(L100&gt;=0.7,"B",IF(L100&gt;=0.6,"C",IF(L100&gt;=0.5,"D",IF(L100&gt;=0.4,"E",IF(L100&gt;=0.3,"F","U")))))))),"")</f>
        <v/>
      </c>
      <c r="N100" s="20">
        <f>IF(B100="","",IF(I100="",IF(AND(C100&lt;&gt;"",C100&lt;TODAY()),"❌ Missing","📝 Pending"),IF(AND(C100&lt;&gt;"",I100&gt;C100),"⏰ Late","✅ On Time")))</f>
        <v/>
      </c>
      <c r="O100" s="25">
        <f>IFERROR(IF(OR(I100="",C100=""),"",MAX(0,I100-C100)),"")</f>
        <v/>
      </c>
      <c r="P100" s="10" t="n"/>
    </row>
    <row r="101">
      <c r="A101" s="14">
        <f>IF(G101="","",COUNTA($G$5:G101))</f>
        <v/>
      </c>
      <c r="B101" s="15" t="n"/>
      <c r="C101" s="15" t="n"/>
      <c r="D101" s="16" t="n"/>
      <c r="E101" s="16" t="n"/>
      <c r="F101" s="16" t="n"/>
      <c r="G101" s="8" t="n"/>
      <c r="H101" s="16" t="n"/>
      <c r="I101" s="15" t="n"/>
      <c r="J101" s="17" t="n"/>
      <c r="K101" s="17" t="n"/>
      <c r="L101" s="18">
        <f>IFERROR(IF(OR(J101="",K101=""),"",J101/K101),"")</f>
        <v/>
      </c>
      <c r="M101" s="14">
        <f>IFERROR(IF(L101="","",IF(L101&gt;=0.9,"A*",IF(L101&gt;=0.8,"A",IF(L101&gt;=0.7,"B",IF(L101&gt;=0.6,"C",IF(L101&gt;=0.5,"D",IF(L101&gt;=0.4,"E",IF(L101&gt;=0.3,"F","U")))))))),"")</f>
        <v/>
      </c>
      <c r="N101" s="14">
        <f>IF(B101="","",IF(I101="",IF(AND(C101&lt;&gt;"",C101&lt;TODAY()),"❌ Missing","📝 Pending"),IF(AND(C101&lt;&gt;"",I101&gt;C101),"⏰ Late","✅ On Time")))</f>
        <v/>
      </c>
      <c r="O101" s="19">
        <f>IFERROR(IF(OR(I101="",C101=""),"",MAX(0,I101-C101)),"")</f>
        <v/>
      </c>
      <c r="P101" s="8" t="n"/>
    </row>
    <row r="102">
      <c r="A102" s="20">
        <f>IF(G102="","",COUNTA($G$5:G102))</f>
        <v/>
      </c>
      <c r="B102" s="21" t="n"/>
      <c r="C102" s="21" t="n"/>
      <c r="D102" s="22" t="n"/>
      <c r="E102" s="22" t="n"/>
      <c r="F102" s="22" t="n"/>
      <c r="G102" s="10" t="n"/>
      <c r="H102" s="22" t="n"/>
      <c r="I102" s="21" t="n"/>
      <c r="J102" s="23" t="n"/>
      <c r="K102" s="23" t="n"/>
      <c r="L102" s="24">
        <f>IFERROR(IF(OR(J102="",K102=""),"",J102/K102),"")</f>
        <v/>
      </c>
      <c r="M102" s="20">
        <f>IFERROR(IF(L102="","",IF(L102&gt;=0.9,"A*",IF(L102&gt;=0.8,"A",IF(L102&gt;=0.7,"B",IF(L102&gt;=0.6,"C",IF(L102&gt;=0.5,"D",IF(L102&gt;=0.4,"E",IF(L102&gt;=0.3,"F","U")))))))),"")</f>
        <v/>
      </c>
      <c r="N102" s="20">
        <f>IF(B102="","",IF(I102="",IF(AND(C102&lt;&gt;"",C102&lt;TODAY()),"❌ Missing","📝 Pending"),IF(AND(C102&lt;&gt;"",I102&gt;C102),"⏰ Late","✅ On Time")))</f>
        <v/>
      </c>
      <c r="O102" s="25">
        <f>IFERROR(IF(OR(I102="",C102=""),"",MAX(0,I102-C102)),"")</f>
        <v/>
      </c>
      <c r="P102" s="10" t="n"/>
    </row>
    <row r="103">
      <c r="A103" s="14">
        <f>IF(G103="","",COUNTA($G$5:G103))</f>
        <v/>
      </c>
      <c r="B103" s="15" t="n"/>
      <c r="C103" s="15" t="n"/>
      <c r="D103" s="16" t="n"/>
      <c r="E103" s="16" t="n"/>
      <c r="F103" s="16" t="n"/>
      <c r="G103" s="8" t="n"/>
      <c r="H103" s="16" t="n"/>
      <c r="I103" s="15" t="n"/>
      <c r="J103" s="17" t="n"/>
      <c r="K103" s="17" t="n"/>
      <c r="L103" s="18">
        <f>IFERROR(IF(OR(J103="",K103=""),"",J103/K103),"")</f>
        <v/>
      </c>
      <c r="M103" s="14">
        <f>IFERROR(IF(L103="","",IF(L103&gt;=0.9,"A*",IF(L103&gt;=0.8,"A",IF(L103&gt;=0.7,"B",IF(L103&gt;=0.6,"C",IF(L103&gt;=0.5,"D",IF(L103&gt;=0.4,"E",IF(L103&gt;=0.3,"F","U")))))))),"")</f>
        <v/>
      </c>
      <c r="N103" s="14">
        <f>IF(B103="","",IF(I103="",IF(AND(C103&lt;&gt;"",C103&lt;TODAY()),"❌ Missing","📝 Pending"),IF(AND(C103&lt;&gt;"",I103&gt;C103),"⏰ Late","✅ On Time")))</f>
        <v/>
      </c>
      <c r="O103" s="19">
        <f>IFERROR(IF(OR(I103="",C103=""),"",MAX(0,I103-C103)),"")</f>
        <v/>
      </c>
      <c r="P103" s="8" t="n"/>
    </row>
    <row r="104">
      <c r="A104" s="20">
        <f>IF(G104="","",COUNTA($G$5:G104))</f>
        <v/>
      </c>
      <c r="B104" s="21" t="n"/>
      <c r="C104" s="21" t="n"/>
      <c r="D104" s="22" t="n"/>
      <c r="E104" s="22" t="n"/>
      <c r="F104" s="22" t="n"/>
      <c r="G104" s="10" t="n"/>
      <c r="H104" s="22" t="n"/>
      <c r="I104" s="21" t="n"/>
      <c r="J104" s="23" t="n"/>
      <c r="K104" s="23" t="n"/>
      <c r="L104" s="24">
        <f>IFERROR(IF(OR(J104="",K104=""),"",J104/K104),"")</f>
        <v/>
      </c>
      <c r="M104" s="20">
        <f>IFERROR(IF(L104="","",IF(L104&gt;=0.9,"A*",IF(L104&gt;=0.8,"A",IF(L104&gt;=0.7,"B",IF(L104&gt;=0.6,"C",IF(L104&gt;=0.5,"D",IF(L104&gt;=0.4,"E",IF(L104&gt;=0.3,"F","U")))))))),"")</f>
        <v/>
      </c>
      <c r="N104" s="20">
        <f>IF(B104="","",IF(I104="",IF(AND(C104&lt;&gt;"",C104&lt;TODAY()),"❌ Missing","📝 Pending"),IF(AND(C104&lt;&gt;"",I104&gt;C104),"⏰ Late","✅ On Time")))</f>
        <v/>
      </c>
      <c r="O104" s="25">
        <f>IFERROR(IF(OR(I104="",C104=""),"",MAX(0,I104-C104)),"")</f>
        <v/>
      </c>
      <c r="P104" s="10" t="n"/>
    </row>
    <row r="105">
      <c r="A105" s="14">
        <f>IF(G105="","",COUNTA($G$5:G105))</f>
        <v/>
      </c>
      <c r="B105" s="15" t="n"/>
      <c r="C105" s="15" t="n"/>
      <c r="D105" s="16" t="n"/>
      <c r="E105" s="16" t="n"/>
      <c r="F105" s="16" t="n"/>
      <c r="G105" s="8" t="n"/>
      <c r="H105" s="16" t="n"/>
      <c r="I105" s="15" t="n"/>
      <c r="J105" s="17" t="n"/>
      <c r="K105" s="17" t="n"/>
      <c r="L105" s="18">
        <f>IFERROR(IF(OR(J105="",K105=""),"",J105/K105),"")</f>
        <v/>
      </c>
      <c r="M105" s="14">
        <f>IFERROR(IF(L105="","",IF(L105&gt;=0.9,"A*",IF(L105&gt;=0.8,"A",IF(L105&gt;=0.7,"B",IF(L105&gt;=0.6,"C",IF(L105&gt;=0.5,"D",IF(L105&gt;=0.4,"E",IF(L105&gt;=0.3,"F","U")))))))),"")</f>
        <v/>
      </c>
      <c r="N105" s="14">
        <f>IF(B105="","",IF(I105="",IF(AND(C105&lt;&gt;"",C105&lt;TODAY()),"❌ Missing","📝 Pending"),IF(AND(C105&lt;&gt;"",I105&gt;C105),"⏰ Late","✅ On Time")))</f>
        <v/>
      </c>
      <c r="O105" s="19">
        <f>IFERROR(IF(OR(I105="",C105=""),"",MAX(0,I105-C105)),"")</f>
        <v/>
      </c>
      <c r="P105" s="8" t="n"/>
    </row>
    <row r="106">
      <c r="A106" s="20">
        <f>IF(G106="","",COUNTA($G$5:G106))</f>
        <v/>
      </c>
      <c r="B106" s="21" t="n"/>
      <c r="C106" s="21" t="n"/>
      <c r="D106" s="22" t="n"/>
      <c r="E106" s="22" t="n"/>
      <c r="F106" s="22" t="n"/>
      <c r="G106" s="10" t="n"/>
      <c r="H106" s="22" t="n"/>
      <c r="I106" s="21" t="n"/>
      <c r="J106" s="23" t="n"/>
      <c r="K106" s="23" t="n"/>
      <c r="L106" s="24">
        <f>IFERROR(IF(OR(J106="",K106=""),"",J106/K106),"")</f>
        <v/>
      </c>
      <c r="M106" s="20">
        <f>IFERROR(IF(L106="","",IF(L106&gt;=0.9,"A*",IF(L106&gt;=0.8,"A",IF(L106&gt;=0.7,"B",IF(L106&gt;=0.6,"C",IF(L106&gt;=0.5,"D",IF(L106&gt;=0.4,"E",IF(L106&gt;=0.3,"F","U")))))))),"")</f>
        <v/>
      </c>
      <c r="N106" s="20">
        <f>IF(B106="","",IF(I106="",IF(AND(C106&lt;&gt;"",C106&lt;TODAY()),"❌ Missing","📝 Pending"),IF(AND(C106&lt;&gt;"",I106&gt;C106),"⏰ Late","✅ On Time")))</f>
        <v/>
      </c>
      <c r="O106" s="25">
        <f>IFERROR(IF(OR(I106="",C106=""),"",MAX(0,I106-C106)),"")</f>
        <v/>
      </c>
      <c r="P106" s="10" t="n"/>
    </row>
    <row r="107">
      <c r="A107" s="14">
        <f>IF(G107="","",COUNTA($G$5:G107))</f>
        <v/>
      </c>
      <c r="B107" s="15" t="n"/>
      <c r="C107" s="15" t="n"/>
      <c r="D107" s="16" t="n"/>
      <c r="E107" s="16" t="n"/>
      <c r="F107" s="16" t="n"/>
      <c r="G107" s="8" t="n"/>
      <c r="H107" s="16" t="n"/>
      <c r="I107" s="15" t="n"/>
      <c r="J107" s="17" t="n"/>
      <c r="K107" s="17" t="n"/>
      <c r="L107" s="18">
        <f>IFERROR(IF(OR(J107="",K107=""),"",J107/K107),"")</f>
        <v/>
      </c>
      <c r="M107" s="14">
        <f>IFERROR(IF(L107="","",IF(L107&gt;=0.9,"A*",IF(L107&gt;=0.8,"A",IF(L107&gt;=0.7,"B",IF(L107&gt;=0.6,"C",IF(L107&gt;=0.5,"D",IF(L107&gt;=0.4,"E",IF(L107&gt;=0.3,"F","U")))))))),"")</f>
        <v/>
      </c>
      <c r="N107" s="14">
        <f>IF(B107="","",IF(I107="",IF(AND(C107&lt;&gt;"",C107&lt;TODAY()),"❌ Missing","📝 Pending"),IF(AND(C107&lt;&gt;"",I107&gt;C107),"⏰ Late","✅ On Time")))</f>
        <v/>
      </c>
      <c r="O107" s="19">
        <f>IFERROR(IF(OR(I107="",C107=""),"",MAX(0,I107-C107)),"")</f>
        <v/>
      </c>
      <c r="P107" s="8" t="n"/>
    </row>
    <row r="108">
      <c r="A108" s="20">
        <f>IF(G108="","",COUNTA($G$5:G108))</f>
        <v/>
      </c>
      <c r="B108" s="21" t="n"/>
      <c r="C108" s="21" t="n"/>
      <c r="D108" s="22" t="n"/>
      <c r="E108" s="22" t="n"/>
      <c r="F108" s="22" t="n"/>
      <c r="G108" s="10" t="n"/>
      <c r="H108" s="22" t="n"/>
      <c r="I108" s="21" t="n"/>
      <c r="J108" s="23" t="n"/>
      <c r="K108" s="23" t="n"/>
      <c r="L108" s="24">
        <f>IFERROR(IF(OR(J108="",K108=""),"",J108/K108),"")</f>
        <v/>
      </c>
      <c r="M108" s="20">
        <f>IFERROR(IF(L108="","",IF(L108&gt;=0.9,"A*",IF(L108&gt;=0.8,"A",IF(L108&gt;=0.7,"B",IF(L108&gt;=0.6,"C",IF(L108&gt;=0.5,"D",IF(L108&gt;=0.4,"E",IF(L108&gt;=0.3,"F","U")))))))),"")</f>
        <v/>
      </c>
      <c r="N108" s="20">
        <f>IF(B108="","",IF(I108="",IF(AND(C108&lt;&gt;"",C108&lt;TODAY()),"❌ Missing","📝 Pending"),IF(AND(C108&lt;&gt;"",I108&gt;C108),"⏰ Late","✅ On Time")))</f>
        <v/>
      </c>
      <c r="O108" s="25">
        <f>IFERROR(IF(OR(I108="",C108=""),"",MAX(0,I108-C108)),"")</f>
        <v/>
      </c>
      <c r="P108" s="10" t="n"/>
    </row>
    <row r="109">
      <c r="A109" s="14">
        <f>IF(G109="","",COUNTA($G$5:G109))</f>
        <v/>
      </c>
      <c r="B109" s="15" t="n"/>
      <c r="C109" s="15" t="n"/>
      <c r="D109" s="16" t="n"/>
      <c r="E109" s="16" t="n"/>
      <c r="F109" s="16" t="n"/>
      <c r="G109" s="8" t="n"/>
      <c r="H109" s="16" t="n"/>
      <c r="I109" s="15" t="n"/>
      <c r="J109" s="17" t="n"/>
      <c r="K109" s="17" t="n"/>
      <c r="L109" s="18">
        <f>IFERROR(IF(OR(J109="",K109=""),"",J109/K109),"")</f>
        <v/>
      </c>
      <c r="M109" s="14">
        <f>IFERROR(IF(L109="","",IF(L109&gt;=0.9,"A*",IF(L109&gt;=0.8,"A",IF(L109&gt;=0.7,"B",IF(L109&gt;=0.6,"C",IF(L109&gt;=0.5,"D",IF(L109&gt;=0.4,"E",IF(L109&gt;=0.3,"F","U")))))))),"")</f>
        <v/>
      </c>
      <c r="N109" s="14">
        <f>IF(B109="","",IF(I109="",IF(AND(C109&lt;&gt;"",C109&lt;TODAY()),"❌ Missing","📝 Pending"),IF(AND(C109&lt;&gt;"",I109&gt;C109),"⏰ Late","✅ On Time")))</f>
        <v/>
      </c>
      <c r="O109" s="19">
        <f>IFERROR(IF(OR(I109="",C109=""),"",MAX(0,I109-C109)),"")</f>
        <v/>
      </c>
      <c r="P109" s="8" t="n"/>
    </row>
    <row r="110">
      <c r="A110" s="20">
        <f>IF(G110="","",COUNTA($G$5:G110))</f>
        <v/>
      </c>
      <c r="B110" s="21" t="n"/>
      <c r="C110" s="21" t="n"/>
      <c r="D110" s="22" t="n"/>
      <c r="E110" s="22" t="n"/>
      <c r="F110" s="22" t="n"/>
      <c r="G110" s="10" t="n"/>
      <c r="H110" s="22" t="n"/>
      <c r="I110" s="21" t="n"/>
      <c r="J110" s="23" t="n"/>
      <c r="K110" s="23" t="n"/>
      <c r="L110" s="24">
        <f>IFERROR(IF(OR(J110="",K110=""),"",J110/K110),"")</f>
        <v/>
      </c>
      <c r="M110" s="20">
        <f>IFERROR(IF(L110="","",IF(L110&gt;=0.9,"A*",IF(L110&gt;=0.8,"A",IF(L110&gt;=0.7,"B",IF(L110&gt;=0.6,"C",IF(L110&gt;=0.5,"D",IF(L110&gt;=0.4,"E",IF(L110&gt;=0.3,"F","U")))))))),"")</f>
        <v/>
      </c>
      <c r="N110" s="20">
        <f>IF(B110="","",IF(I110="",IF(AND(C110&lt;&gt;"",C110&lt;TODAY()),"❌ Missing","📝 Pending"),IF(AND(C110&lt;&gt;"",I110&gt;C110),"⏰ Late","✅ On Time")))</f>
        <v/>
      </c>
      <c r="O110" s="25">
        <f>IFERROR(IF(OR(I110="",C110=""),"",MAX(0,I110-C110)),"")</f>
        <v/>
      </c>
      <c r="P110" s="10" t="n"/>
    </row>
    <row r="111">
      <c r="A111" s="14">
        <f>IF(G111="","",COUNTA($G$5:G111))</f>
        <v/>
      </c>
      <c r="B111" s="15" t="n"/>
      <c r="C111" s="15" t="n"/>
      <c r="D111" s="16" t="n"/>
      <c r="E111" s="16" t="n"/>
      <c r="F111" s="16" t="n"/>
      <c r="G111" s="8" t="n"/>
      <c r="H111" s="16" t="n"/>
      <c r="I111" s="15" t="n"/>
      <c r="J111" s="17" t="n"/>
      <c r="K111" s="17" t="n"/>
      <c r="L111" s="18">
        <f>IFERROR(IF(OR(J111="",K111=""),"",J111/K111),"")</f>
        <v/>
      </c>
      <c r="M111" s="14">
        <f>IFERROR(IF(L111="","",IF(L111&gt;=0.9,"A*",IF(L111&gt;=0.8,"A",IF(L111&gt;=0.7,"B",IF(L111&gt;=0.6,"C",IF(L111&gt;=0.5,"D",IF(L111&gt;=0.4,"E",IF(L111&gt;=0.3,"F","U")))))))),"")</f>
        <v/>
      </c>
      <c r="N111" s="14">
        <f>IF(B111="","",IF(I111="",IF(AND(C111&lt;&gt;"",C111&lt;TODAY()),"❌ Missing","📝 Pending"),IF(AND(C111&lt;&gt;"",I111&gt;C111),"⏰ Late","✅ On Time")))</f>
        <v/>
      </c>
      <c r="O111" s="19">
        <f>IFERROR(IF(OR(I111="",C111=""),"",MAX(0,I111-C111)),"")</f>
        <v/>
      </c>
      <c r="P111" s="8" t="n"/>
    </row>
    <row r="112">
      <c r="A112" s="20">
        <f>IF(G112="","",COUNTA($G$5:G112))</f>
        <v/>
      </c>
      <c r="B112" s="21" t="n"/>
      <c r="C112" s="21" t="n"/>
      <c r="D112" s="22" t="n"/>
      <c r="E112" s="22" t="n"/>
      <c r="F112" s="22" t="n"/>
      <c r="G112" s="10" t="n"/>
      <c r="H112" s="22" t="n"/>
      <c r="I112" s="21" t="n"/>
      <c r="J112" s="23" t="n"/>
      <c r="K112" s="23" t="n"/>
      <c r="L112" s="24">
        <f>IFERROR(IF(OR(J112="",K112=""),"",J112/K112),"")</f>
        <v/>
      </c>
      <c r="M112" s="20">
        <f>IFERROR(IF(L112="","",IF(L112&gt;=0.9,"A*",IF(L112&gt;=0.8,"A",IF(L112&gt;=0.7,"B",IF(L112&gt;=0.6,"C",IF(L112&gt;=0.5,"D",IF(L112&gt;=0.4,"E",IF(L112&gt;=0.3,"F","U")))))))),"")</f>
        <v/>
      </c>
      <c r="N112" s="20">
        <f>IF(B112="","",IF(I112="",IF(AND(C112&lt;&gt;"",C112&lt;TODAY()),"❌ Missing","📝 Pending"),IF(AND(C112&lt;&gt;"",I112&gt;C112),"⏰ Late","✅ On Time")))</f>
        <v/>
      </c>
      <c r="O112" s="25">
        <f>IFERROR(IF(OR(I112="",C112=""),"",MAX(0,I112-C112)),"")</f>
        <v/>
      </c>
      <c r="P112" s="10" t="n"/>
    </row>
    <row r="113">
      <c r="A113" s="14">
        <f>IF(G113="","",COUNTA($G$5:G113))</f>
        <v/>
      </c>
      <c r="B113" s="15" t="n"/>
      <c r="C113" s="15" t="n"/>
      <c r="D113" s="16" t="n"/>
      <c r="E113" s="16" t="n"/>
      <c r="F113" s="16" t="n"/>
      <c r="G113" s="8" t="n"/>
      <c r="H113" s="16" t="n"/>
      <c r="I113" s="15" t="n"/>
      <c r="J113" s="17" t="n"/>
      <c r="K113" s="17" t="n"/>
      <c r="L113" s="18">
        <f>IFERROR(IF(OR(J113="",K113=""),"",J113/K113),"")</f>
        <v/>
      </c>
      <c r="M113" s="14">
        <f>IFERROR(IF(L113="","",IF(L113&gt;=0.9,"A*",IF(L113&gt;=0.8,"A",IF(L113&gt;=0.7,"B",IF(L113&gt;=0.6,"C",IF(L113&gt;=0.5,"D",IF(L113&gt;=0.4,"E",IF(L113&gt;=0.3,"F","U")))))))),"")</f>
        <v/>
      </c>
      <c r="N113" s="14">
        <f>IF(B113="","",IF(I113="",IF(AND(C113&lt;&gt;"",C113&lt;TODAY()),"❌ Missing","📝 Pending"),IF(AND(C113&lt;&gt;"",I113&gt;C113),"⏰ Late","✅ On Time")))</f>
        <v/>
      </c>
      <c r="O113" s="19">
        <f>IFERROR(IF(OR(I113="",C113=""),"",MAX(0,I113-C113)),"")</f>
        <v/>
      </c>
      <c r="P113" s="8" t="n"/>
    </row>
    <row r="114">
      <c r="A114" s="20">
        <f>IF(G114="","",COUNTA($G$5:G114))</f>
        <v/>
      </c>
      <c r="B114" s="21" t="n"/>
      <c r="C114" s="21" t="n"/>
      <c r="D114" s="22" t="n"/>
      <c r="E114" s="22" t="n"/>
      <c r="F114" s="22" t="n"/>
      <c r="G114" s="10" t="n"/>
      <c r="H114" s="22" t="n"/>
      <c r="I114" s="21" t="n"/>
      <c r="J114" s="23" t="n"/>
      <c r="K114" s="23" t="n"/>
      <c r="L114" s="24">
        <f>IFERROR(IF(OR(J114="",K114=""),"",J114/K114),"")</f>
        <v/>
      </c>
      <c r="M114" s="20">
        <f>IFERROR(IF(L114="","",IF(L114&gt;=0.9,"A*",IF(L114&gt;=0.8,"A",IF(L114&gt;=0.7,"B",IF(L114&gt;=0.6,"C",IF(L114&gt;=0.5,"D",IF(L114&gt;=0.4,"E",IF(L114&gt;=0.3,"F","U")))))))),"")</f>
        <v/>
      </c>
      <c r="N114" s="20">
        <f>IF(B114="","",IF(I114="",IF(AND(C114&lt;&gt;"",C114&lt;TODAY()),"❌ Missing","📝 Pending"),IF(AND(C114&lt;&gt;"",I114&gt;C114),"⏰ Late","✅ On Time")))</f>
        <v/>
      </c>
      <c r="O114" s="25">
        <f>IFERROR(IF(OR(I114="",C114=""),"",MAX(0,I114-C114)),"")</f>
        <v/>
      </c>
      <c r="P114" s="10" t="n"/>
    </row>
    <row r="115">
      <c r="A115" s="14">
        <f>IF(G115="","",COUNTA($G$5:G115))</f>
        <v/>
      </c>
      <c r="B115" s="15" t="n"/>
      <c r="C115" s="15" t="n"/>
      <c r="D115" s="16" t="n"/>
      <c r="E115" s="16" t="n"/>
      <c r="F115" s="16" t="n"/>
      <c r="G115" s="8" t="n"/>
      <c r="H115" s="16" t="n"/>
      <c r="I115" s="15" t="n"/>
      <c r="J115" s="17" t="n"/>
      <c r="K115" s="17" t="n"/>
      <c r="L115" s="18">
        <f>IFERROR(IF(OR(J115="",K115=""),"",J115/K115),"")</f>
        <v/>
      </c>
      <c r="M115" s="14">
        <f>IFERROR(IF(L115="","",IF(L115&gt;=0.9,"A*",IF(L115&gt;=0.8,"A",IF(L115&gt;=0.7,"B",IF(L115&gt;=0.6,"C",IF(L115&gt;=0.5,"D",IF(L115&gt;=0.4,"E",IF(L115&gt;=0.3,"F","U")))))))),"")</f>
        <v/>
      </c>
      <c r="N115" s="14">
        <f>IF(B115="","",IF(I115="",IF(AND(C115&lt;&gt;"",C115&lt;TODAY()),"❌ Missing","📝 Pending"),IF(AND(C115&lt;&gt;"",I115&gt;C115),"⏰ Late","✅ On Time")))</f>
        <v/>
      </c>
      <c r="O115" s="19">
        <f>IFERROR(IF(OR(I115="",C115=""),"",MAX(0,I115-C115)),"")</f>
        <v/>
      </c>
      <c r="P115" s="8" t="n"/>
    </row>
    <row r="116">
      <c r="A116" s="20">
        <f>IF(G116="","",COUNTA($G$5:G116))</f>
        <v/>
      </c>
      <c r="B116" s="21" t="n"/>
      <c r="C116" s="21" t="n"/>
      <c r="D116" s="22" t="n"/>
      <c r="E116" s="22" t="n"/>
      <c r="F116" s="22" t="n"/>
      <c r="G116" s="10" t="n"/>
      <c r="H116" s="22" t="n"/>
      <c r="I116" s="21" t="n"/>
      <c r="J116" s="23" t="n"/>
      <c r="K116" s="23" t="n"/>
      <c r="L116" s="24">
        <f>IFERROR(IF(OR(J116="",K116=""),"",J116/K116),"")</f>
        <v/>
      </c>
      <c r="M116" s="20">
        <f>IFERROR(IF(L116="","",IF(L116&gt;=0.9,"A*",IF(L116&gt;=0.8,"A",IF(L116&gt;=0.7,"B",IF(L116&gt;=0.6,"C",IF(L116&gt;=0.5,"D",IF(L116&gt;=0.4,"E",IF(L116&gt;=0.3,"F","U")))))))),"")</f>
        <v/>
      </c>
      <c r="N116" s="20">
        <f>IF(B116="","",IF(I116="",IF(AND(C116&lt;&gt;"",C116&lt;TODAY()),"❌ Missing","📝 Pending"),IF(AND(C116&lt;&gt;"",I116&gt;C116),"⏰ Late","✅ On Time")))</f>
        <v/>
      </c>
      <c r="O116" s="25">
        <f>IFERROR(IF(OR(I116="",C116=""),"",MAX(0,I116-C116)),"")</f>
        <v/>
      </c>
      <c r="P116" s="10" t="n"/>
    </row>
    <row r="117">
      <c r="A117" s="14">
        <f>IF(G117="","",COUNTA($G$5:G117))</f>
        <v/>
      </c>
      <c r="B117" s="15" t="n"/>
      <c r="C117" s="15" t="n"/>
      <c r="D117" s="16" t="n"/>
      <c r="E117" s="16" t="n"/>
      <c r="F117" s="16" t="n"/>
      <c r="G117" s="8" t="n"/>
      <c r="H117" s="16" t="n"/>
      <c r="I117" s="15" t="n"/>
      <c r="J117" s="17" t="n"/>
      <c r="K117" s="17" t="n"/>
      <c r="L117" s="18">
        <f>IFERROR(IF(OR(J117="",K117=""),"",J117/K117),"")</f>
        <v/>
      </c>
      <c r="M117" s="14">
        <f>IFERROR(IF(L117="","",IF(L117&gt;=0.9,"A*",IF(L117&gt;=0.8,"A",IF(L117&gt;=0.7,"B",IF(L117&gt;=0.6,"C",IF(L117&gt;=0.5,"D",IF(L117&gt;=0.4,"E",IF(L117&gt;=0.3,"F","U")))))))),"")</f>
        <v/>
      </c>
      <c r="N117" s="14">
        <f>IF(B117="","",IF(I117="",IF(AND(C117&lt;&gt;"",C117&lt;TODAY()),"❌ Missing","📝 Pending"),IF(AND(C117&lt;&gt;"",I117&gt;C117),"⏰ Late","✅ On Time")))</f>
        <v/>
      </c>
      <c r="O117" s="19">
        <f>IFERROR(IF(OR(I117="",C117=""),"",MAX(0,I117-C117)),"")</f>
        <v/>
      </c>
      <c r="P117" s="8" t="n"/>
    </row>
    <row r="118">
      <c r="A118" s="20">
        <f>IF(G118="","",COUNTA($G$5:G118))</f>
        <v/>
      </c>
      <c r="B118" s="21" t="n"/>
      <c r="C118" s="21" t="n"/>
      <c r="D118" s="22" t="n"/>
      <c r="E118" s="22" t="n"/>
      <c r="F118" s="22" t="n"/>
      <c r="G118" s="10" t="n"/>
      <c r="H118" s="22" t="n"/>
      <c r="I118" s="21" t="n"/>
      <c r="J118" s="23" t="n"/>
      <c r="K118" s="23" t="n"/>
      <c r="L118" s="24">
        <f>IFERROR(IF(OR(J118="",K118=""),"",J118/K118),"")</f>
        <v/>
      </c>
      <c r="M118" s="20">
        <f>IFERROR(IF(L118="","",IF(L118&gt;=0.9,"A*",IF(L118&gt;=0.8,"A",IF(L118&gt;=0.7,"B",IF(L118&gt;=0.6,"C",IF(L118&gt;=0.5,"D",IF(L118&gt;=0.4,"E",IF(L118&gt;=0.3,"F","U")))))))),"")</f>
        <v/>
      </c>
      <c r="N118" s="20">
        <f>IF(B118="","",IF(I118="",IF(AND(C118&lt;&gt;"",C118&lt;TODAY()),"❌ Missing","📝 Pending"),IF(AND(C118&lt;&gt;"",I118&gt;C118),"⏰ Late","✅ On Time")))</f>
        <v/>
      </c>
      <c r="O118" s="25">
        <f>IFERROR(IF(OR(I118="",C118=""),"",MAX(0,I118-C118)),"")</f>
        <v/>
      </c>
      <c r="P118" s="10" t="n"/>
    </row>
    <row r="119">
      <c r="A119" s="14">
        <f>IF(G119="","",COUNTA($G$5:G119))</f>
        <v/>
      </c>
      <c r="B119" s="15" t="n"/>
      <c r="C119" s="15" t="n"/>
      <c r="D119" s="16" t="n"/>
      <c r="E119" s="16" t="n"/>
      <c r="F119" s="16" t="n"/>
      <c r="G119" s="8" t="n"/>
      <c r="H119" s="16" t="n"/>
      <c r="I119" s="15" t="n"/>
      <c r="J119" s="17" t="n"/>
      <c r="K119" s="17" t="n"/>
      <c r="L119" s="18">
        <f>IFERROR(IF(OR(J119="",K119=""),"",J119/K119),"")</f>
        <v/>
      </c>
      <c r="M119" s="14">
        <f>IFERROR(IF(L119="","",IF(L119&gt;=0.9,"A*",IF(L119&gt;=0.8,"A",IF(L119&gt;=0.7,"B",IF(L119&gt;=0.6,"C",IF(L119&gt;=0.5,"D",IF(L119&gt;=0.4,"E",IF(L119&gt;=0.3,"F","U")))))))),"")</f>
        <v/>
      </c>
      <c r="N119" s="14">
        <f>IF(B119="","",IF(I119="",IF(AND(C119&lt;&gt;"",C119&lt;TODAY()),"❌ Missing","📝 Pending"),IF(AND(C119&lt;&gt;"",I119&gt;C119),"⏰ Late","✅ On Time")))</f>
        <v/>
      </c>
      <c r="O119" s="19">
        <f>IFERROR(IF(OR(I119="",C119=""),"",MAX(0,I119-C119)),"")</f>
        <v/>
      </c>
      <c r="P119" s="8" t="n"/>
    </row>
    <row r="120">
      <c r="A120" s="20">
        <f>IF(G120="","",COUNTA($G$5:G120))</f>
        <v/>
      </c>
      <c r="B120" s="21" t="n"/>
      <c r="C120" s="21" t="n"/>
      <c r="D120" s="22" t="n"/>
      <c r="E120" s="22" t="n"/>
      <c r="F120" s="22" t="n"/>
      <c r="G120" s="10" t="n"/>
      <c r="H120" s="22" t="n"/>
      <c r="I120" s="21" t="n"/>
      <c r="J120" s="23" t="n"/>
      <c r="K120" s="23" t="n"/>
      <c r="L120" s="24">
        <f>IFERROR(IF(OR(J120="",K120=""),"",J120/K120),"")</f>
        <v/>
      </c>
      <c r="M120" s="20">
        <f>IFERROR(IF(L120="","",IF(L120&gt;=0.9,"A*",IF(L120&gt;=0.8,"A",IF(L120&gt;=0.7,"B",IF(L120&gt;=0.6,"C",IF(L120&gt;=0.5,"D",IF(L120&gt;=0.4,"E",IF(L120&gt;=0.3,"F","U")))))))),"")</f>
        <v/>
      </c>
      <c r="N120" s="20">
        <f>IF(B120="","",IF(I120="",IF(AND(C120&lt;&gt;"",C120&lt;TODAY()),"❌ Missing","📝 Pending"),IF(AND(C120&lt;&gt;"",I120&gt;C120),"⏰ Late","✅ On Time")))</f>
        <v/>
      </c>
      <c r="O120" s="25">
        <f>IFERROR(IF(OR(I120="",C120=""),"",MAX(0,I120-C120)),"")</f>
        <v/>
      </c>
      <c r="P120" s="10" t="n"/>
    </row>
    <row r="121">
      <c r="A121" s="14">
        <f>IF(G121="","",COUNTA($G$5:G121))</f>
        <v/>
      </c>
      <c r="B121" s="15" t="n"/>
      <c r="C121" s="15" t="n"/>
      <c r="D121" s="16" t="n"/>
      <c r="E121" s="16" t="n"/>
      <c r="F121" s="16" t="n"/>
      <c r="G121" s="8" t="n"/>
      <c r="H121" s="16" t="n"/>
      <c r="I121" s="15" t="n"/>
      <c r="J121" s="17" t="n"/>
      <c r="K121" s="17" t="n"/>
      <c r="L121" s="18">
        <f>IFERROR(IF(OR(J121="",K121=""),"",J121/K121),"")</f>
        <v/>
      </c>
      <c r="M121" s="14">
        <f>IFERROR(IF(L121="","",IF(L121&gt;=0.9,"A*",IF(L121&gt;=0.8,"A",IF(L121&gt;=0.7,"B",IF(L121&gt;=0.6,"C",IF(L121&gt;=0.5,"D",IF(L121&gt;=0.4,"E",IF(L121&gt;=0.3,"F","U")))))))),"")</f>
        <v/>
      </c>
      <c r="N121" s="14">
        <f>IF(B121="","",IF(I121="",IF(AND(C121&lt;&gt;"",C121&lt;TODAY()),"❌ Missing","📝 Pending"),IF(AND(C121&lt;&gt;"",I121&gt;C121),"⏰ Late","✅ On Time")))</f>
        <v/>
      </c>
      <c r="O121" s="19">
        <f>IFERROR(IF(OR(I121="",C121=""),"",MAX(0,I121-C121)),"")</f>
        <v/>
      </c>
      <c r="P121" s="8" t="n"/>
    </row>
    <row r="122">
      <c r="A122" s="20">
        <f>IF(G122="","",COUNTA($G$5:G122))</f>
        <v/>
      </c>
      <c r="B122" s="21" t="n"/>
      <c r="C122" s="21" t="n"/>
      <c r="D122" s="22" t="n"/>
      <c r="E122" s="22" t="n"/>
      <c r="F122" s="22" t="n"/>
      <c r="G122" s="10" t="n"/>
      <c r="H122" s="22" t="n"/>
      <c r="I122" s="21" t="n"/>
      <c r="J122" s="23" t="n"/>
      <c r="K122" s="23" t="n"/>
      <c r="L122" s="24">
        <f>IFERROR(IF(OR(J122="",K122=""),"",J122/K122),"")</f>
        <v/>
      </c>
      <c r="M122" s="20">
        <f>IFERROR(IF(L122="","",IF(L122&gt;=0.9,"A*",IF(L122&gt;=0.8,"A",IF(L122&gt;=0.7,"B",IF(L122&gt;=0.6,"C",IF(L122&gt;=0.5,"D",IF(L122&gt;=0.4,"E",IF(L122&gt;=0.3,"F","U")))))))),"")</f>
        <v/>
      </c>
      <c r="N122" s="20">
        <f>IF(B122="","",IF(I122="",IF(AND(C122&lt;&gt;"",C122&lt;TODAY()),"❌ Missing","📝 Pending"),IF(AND(C122&lt;&gt;"",I122&gt;C122),"⏰ Late","✅ On Time")))</f>
        <v/>
      </c>
      <c r="O122" s="25">
        <f>IFERROR(IF(OR(I122="",C122=""),"",MAX(0,I122-C122)),"")</f>
        <v/>
      </c>
      <c r="P122" s="10" t="n"/>
    </row>
    <row r="123">
      <c r="A123" s="14">
        <f>IF(G123="","",COUNTA($G$5:G123))</f>
        <v/>
      </c>
      <c r="B123" s="15" t="n"/>
      <c r="C123" s="15" t="n"/>
      <c r="D123" s="16" t="n"/>
      <c r="E123" s="16" t="n"/>
      <c r="F123" s="16" t="n"/>
      <c r="G123" s="8" t="n"/>
      <c r="H123" s="16" t="n"/>
      <c r="I123" s="15" t="n"/>
      <c r="J123" s="17" t="n"/>
      <c r="K123" s="17" t="n"/>
      <c r="L123" s="18">
        <f>IFERROR(IF(OR(J123="",K123=""),"",J123/K123),"")</f>
        <v/>
      </c>
      <c r="M123" s="14">
        <f>IFERROR(IF(L123="","",IF(L123&gt;=0.9,"A*",IF(L123&gt;=0.8,"A",IF(L123&gt;=0.7,"B",IF(L123&gt;=0.6,"C",IF(L123&gt;=0.5,"D",IF(L123&gt;=0.4,"E",IF(L123&gt;=0.3,"F","U")))))))),"")</f>
        <v/>
      </c>
      <c r="N123" s="14">
        <f>IF(B123="","",IF(I123="",IF(AND(C123&lt;&gt;"",C123&lt;TODAY()),"❌ Missing","📝 Pending"),IF(AND(C123&lt;&gt;"",I123&gt;C123),"⏰ Late","✅ On Time")))</f>
        <v/>
      </c>
      <c r="O123" s="19">
        <f>IFERROR(IF(OR(I123="",C123=""),"",MAX(0,I123-C123)),"")</f>
        <v/>
      </c>
      <c r="P123" s="8" t="n"/>
    </row>
    <row r="124">
      <c r="A124" s="20">
        <f>IF(G124="","",COUNTA($G$5:G124))</f>
        <v/>
      </c>
      <c r="B124" s="21" t="n"/>
      <c r="C124" s="21" t="n"/>
      <c r="D124" s="22" t="n"/>
      <c r="E124" s="22" t="n"/>
      <c r="F124" s="22" t="n"/>
      <c r="G124" s="10" t="n"/>
      <c r="H124" s="22" t="n"/>
      <c r="I124" s="21" t="n"/>
      <c r="J124" s="23" t="n"/>
      <c r="K124" s="23" t="n"/>
      <c r="L124" s="24">
        <f>IFERROR(IF(OR(J124="",K124=""),"",J124/K124),"")</f>
        <v/>
      </c>
      <c r="M124" s="20">
        <f>IFERROR(IF(L124="","",IF(L124&gt;=0.9,"A*",IF(L124&gt;=0.8,"A",IF(L124&gt;=0.7,"B",IF(L124&gt;=0.6,"C",IF(L124&gt;=0.5,"D",IF(L124&gt;=0.4,"E",IF(L124&gt;=0.3,"F","U")))))))),"")</f>
        <v/>
      </c>
      <c r="N124" s="20">
        <f>IF(B124="","",IF(I124="",IF(AND(C124&lt;&gt;"",C124&lt;TODAY()),"❌ Missing","📝 Pending"),IF(AND(C124&lt;&gt;"",I124&gt;C124),"⏰ Late","✅ On Time")))</f>
        <v/>
      </c>
      <c r="O124" s="25">
        <f>IFERROR(IF(OR(I124="",C124=""),"",MAX(0,I124-C124)),"")</f>
        <v/>
      </c>
      <c r="P124" s="10" t="n"/>
    </row>
  </sheetData>
  <mergeCells count="2">
    <mergeCell ref="A1:P1"/>
    <mergeCell ref="A2:P2"/>
  </mergeCells>
  <conditionalFormatting sqref="L5:L124">
    <cfRule type="colorScale" priority="1">
      <colorScale>
        <cfvo type="num" val="0"/>
        <cfvo type="num" val="0.6"/>
        <cfvo type="num" val="1"/>
        <color rgb="00F8696B"/>
        <color rgb="00FFEB84"/>
        <color rgb="0063BE7B"/>
      </colorScale>
    </cfRule>
    <cfRule type="expression" priority="9" dxfId="0">
      <formula>AND(ISNUMBER(L5),L5&lt;0.5)</formula>
    </cfRule>
  </conditionalFormatting>
  <conditionalFormatting sqref="N5:N124">
    <cfRule type="expression" priority="2" dxfId="0">
      <formula>ISNUMBER(SEARCH("Missing",N5))</formula>
    </cfRule>
    <cfRule type="expression" priority="3" dxfId="1">
      <formula>ISNUMBER(SEARCH("Late",N5))</formula>
    </cfRule>
    <cfRule type="expression" priority="4" dxfId="2">
      <formula>ISNUMBER(SEARCH("On Time",N5))</formula>
    </cfRule>
    <cfRule type="expression" priority="5" dxfId="3">
      <formula>ISNUMBER(SEARCH("Pending",N5))</formula>
    </cfRule>
  </conditionalFormatting>
  <conditionalFormatting sqref="C5:C124">
    <cfRule type="expression" priority="6" dxfId="0">
      <formula>AND(C5&lt;&gt;"",C5&lt;TODAY(),I5="")</formula>
    </cfRule>
    <cfRule type="expression" priority="7" dxfId="1">
      <formula>AND(C5&lt;&gt;"",C5-TODAY()&gt;=0,C5-TODAY()&lt;=3,I5="")</formula>
    </cfRule>
  </conditionalFormatting>
  <conditionalFormatting sqref="O5:O124">
    <cfRule type="dataBar" priority="8">
      <dataBar showValue="1">
        <cfvo type="min"/>
        <cfvo type="max"/>
        <color rgb="00E87722"/>
      </dataBar>
    </cfRule>
  </conditionalFormatting>
  <conditionalFormatting sqref="M5:M124">
    <cfRule type="expression" priority="10" dxfId="2">
      <formula>M5="A*"</formula>
    </cfRule>
    <cfRule type="expression" priority="11" dxfId="2">
      <formula>M5="A"</formula>
    </cfRule>
    <cfRule type="expression" priority="12" dxfId="2">
      <formula>M5="B"</formula>
    </cfRule>
    <cfRule type="expression" priority="13" dxfId="1">
      <formula>OR(M5="C",M5="D")</formula>
    </cfRule>
    <cfRule type="expression" priority="14" dxfId="0">
      <formula>OR(M5="E",M5="F",M5="U")</formula>
    </cfRule>
  </conditionalFormatting>
  <dataValidations count="6">
    <dataValidation sqref="D5:D124" showDropDown="0" showInputMessage="0" showErrorMessage="0" allowBlank="1" errorTitle="Invalid Unit" error="Choose Unit 1 or Unit 2" promptTitle="Unit" prompt="Select Unit 1 or Unit 2" type="list">
      <formula1>=UnitList</formula1>
    </dataValidation>
    <dataValidation sqref="E5:E124" showDropDown="0" showInputMessage="0" showErrorMessage="0" allowBlank="1" errorTitle="Topic" error="Pick unit first, then topic" type="list">
      <formula1>=IF($D5="Unit 2",Unit2Topics,Unit1Topics)</formula1>
    </dataValidation>
    <dataValidation sqref="F5:F124" showDropDown="0" showInputMessage="0" showErrorMessage="0" allowBlank="1" type="list">
      <formula1>=AssignTypeList</formula1>
    </dataValidation>
    <dataValidation sqref="H5:H124" showDropDown="0" showInputMessage="0" showErrorMessage="0" allowBlank="1" type="list">
      <formula1>=DifficultyList</formula1>
    </dataValidation>
    <dataValidation sqref="J5:J124" showDropDown="0" showInputMessage="0" showErrorMessage="0" allowBlank="1" error="Raw mark must be a number" type="decimal" operator="between">
      <formula1>0</formula1>
      <formula2>1000</formula2>
    </dataValidation>
    <dataValidation sqref="K5:K124" showDropDown="0" showInputMessage="0" showErrorMessage="0" allowBlank="1" error="Max mark must be &gt; 0" type="decimal" operator="between">
      <formula1>1</formula1>
      <formula2>1000</formula2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9A6700"/>
    <outlinePr summaryBelow="1" summaryRight="1"/>
    <pageSetUpPr/>
  </sheetPr>
  <dimension ref="A1:O124"/>
  <sheetViews>
    <sheetView showGridLines="0" workbookViewId="0">
      <pane xSplit="1" ySplit="4" topLeftCell="B5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6" customWidth="1" min="1" max="1"/>
    <col width="13" customWidth="1" min="2" max="2"/>
    <col width="10" customWidth="1" min="3" max="3"/>
    <col width="38" customWidth="1" min="4" max="4"/>
    <col width="16" customWidth="1" min="5" max="5"/>
    <col width="28" customWidth="1" min="6" max="6"/>
    <col width="13" customWidth="1" min="7" max="7"/>
    <col width="9" customWidth="1" min="8" max="8"/>
    <col width="9" customWidth="1" min="9" max="9"/>
    <col width="9" customWidth="1" min="10" max="10"/>
    <col width="9" customWidth="1" min="11" max="11"/>
    <col width="10" customWidth="1" min="12" max="12"/>
    <col width="10" customWidth="1" min="13" max="13"/>
    <col width="10" customWidth="1" min="14" max="14"/>
    <col width="36" customWidth="1" min="15" max="15"/>
  </cols>
  <sheetData>
    <row r="1" ht="32" customHeight="1">
      <c r="A1" s="11" t="inlineStr">
        <is>
          <t>🧠   QUIZ TRACKER — Log Every Quiz / Test Below</t>
        </is>
      </c>
    </row>
    <row r="2" ht="20" customHeight="1">
      <c r="A2" s="12" t="inlineStr">
        <is>
          <t>Raw + Max marks auto-calc % / Grade  ·  Duration &amp; Time-Taken track efficiency  ·  Pre/Post for retake comparison</t>
        </is>
      </c>
    </row>
    <row r="4" ht="38" customHeight="1">
      <c r="A4" s="13" t="inlineStr">
        <is>
          <t>#</t>
        </is>
      </c>
      <c r="B4" s="13" t="inlineStr">
        <is>
          <t>📅 Date</t>
        </is>
      </c>
      <c r="C4" s="13" t="inlineStr">
        <is>
          <t>📚 Unit
▼</t>
        </is>
      </c>
      <c r="D4" s="13" t="inlineStr">
        <is>
          <t>📂 Topic
▼</t>
        </is>
      </c>
      <c r="E4" s="13" t="inlineStr">
        <is>
          <t>🧾 Quiz Type
▼</t>
        </is>
      </c>
      <c r="F4" s="13" t="inlineStr">
        <is>
          <t>📝 Quiz Title</t>
        </is>
      </c>
      <c r="G4" s="13" t="inlineStr">
        <is>
          <t>⚡ Difficulty
▼</t>
        </is>
      </c>
      <c r="H4" s="13" t="inlineStr">
        <is>
          <t>✏️ Raw
Mark</t>
        </is>
      </c>
      <c r="I4" s="13" t="inlineStr">
        <is>
          <t>🎯 Max
Mark</t>
        </is>
      </c>
      <c r="J4" s="13" t="inlineStr">
        <is>
          <t>📊 %
auto</t>
        </is>
      </c>
      <c r="K4" s="13" t="inlineStr">
        <is>
          <t>🏆 Grade
auto</t>
        </is>
      </c>
      <c r="L4" s="13" t="inlineStr">
        <is>
          <t>⏱ Duration
(min)</t>
        </is>
      </c>
      <c r="M4" s="13" t="inlineStr">
        <is>
          <t>⏳ Time
Taken</t>
        </is>
      </c>
      <c r="N4" s="13" t="inlineStr">
        <is>
          <t>📈 Attempt #
(1,2,3)</t>
        </is>
      </c>
      <c r="O4" s="13" t="inlineStr">
        <is>
          <t>🗒️ Feedback / Wrong Qs</t>
        </is>
      </c>
    </row>
    <row r="5">
      <c r="A5" s="14">
        <f>IF(F5="","",COUNTA($F$5:F5))</f>
        <v/>
      </c>
      <c r="B5" s="15">
        <f>TODAY()-5</f>
        <v/>
      </c>
      <c r="C5" s="16" t="inlineStr">
        <is>
          <t>Unit 1</t>
        </is>
      </c>
      <c r="D5" s="16" t="inlineStr">
        <is>
          <t>Fractions</t>
        </is>
      </c>
      <c r="E5" s="16" t="inlineStr">
        <is>
          <t>Topic Quiz</t>
        </is>
      </c>
      <c r="F5" s="8" t="inlineStr">
        <is>
          <t>Fractions &amp; mixed numbers quiz</t>
        </is>
      </c>
      <c r="G5" s="16" t="inlineStr">
        <is>
          <t>🟡 Medium</t>
        </is>
      </c>
      <c r="H5" s="17" t="n">
        <v>14</v>
      </c>
      <c r="I5" s="17" t="n">
        <v>20</v>
      </c>
      <c r="J5" s="18">
        <f>IFERROR(IF(OR(H5="",I5=""),"",H5/I5),"")</f>
        <v/>
      </c>
      <c r="K5" s="14">
        <f>IFERROR(IF(J5="","",IF(J5&gt;=0.9,"A*",IF(J5&gt;=0.8,"A",IF(J5&gt;=0.7,"B",IF(J5&gt;=0.6,"C",IF(J5&gt;=0.5,"D",IF(J5&gt;=0.4,"E",IF(J5&gt;=0.3,"F","U")))))))),"")</f>
        <v/>
      </c>
      <c r="L5" s="17" t="n">
        <v>30</v>
      </c>
      <c r="M5" s="17" t="n">
        <v>26</v>
      </c>
      <c r="N5" s="17" t="n">
        <v>1</v>
      </c>
      <c r="O5" s="8" t="inlineStr">
        <is>
          <t>Q3, Q7 — mixed number × fraction mistakes</t>
        </is>
      </c>
    </row>
    <row r="6">
      <c r="A6" s="20">
        <f>IF(F6="","",COUNTA($F$5:F6))</f>
        <v/>
      </c>
      <c r="B6" s="21" t="n"/>
      <c r="C6" s="22" t="n"/>
      <c r="D6" s="22" t="n"/>
      <c r="E6" s="22" t="n"/>
      <c r="F6" s="10" t="n"/>
      <c r="G6" s="22" t="n"/>
      <c r="H6" s="23" t="n"/>
      <c r="I6" s="23" t="n"/>
      <c r="J6" s="24">
        <f>IFERROR(IF(OR(H6="",I6=""),"",H6/I6),"")</f>
        <v/>
      </c>
      <c r="K6" s="20">
        <f>IFERROR(IF(J6="","",IF(J6&gt;=0.9,"A*",IF(J6&gt;=0.8,"A",IF(J6&gt;=0.7,"B",IF(J6&gt;=0.6,"C",IF(J6&gt;=0.5,"D",IF(J6&gt;=0.4,"E",IF(J6&gt;=0.3,"F","U")))))))),"")</f>
        <v/>
      </c>
      <c r="L6" s="23" t="n"/>
      <c r="M6" s="23" t="n"/>
      <c r="N6" s="23" t="n"/>
      <c r="O6" s="10" t="n"/>
    </row>
    <row r="7">
      <c r="A7" s="14">
        <f>IF(F7="","",COUNTA($F$5:F7))</f>
        <v/>
      </c>
      <c r="B7" s="15" t="n"/>
      <c r="C7" s="16" t="n"/>
      <c r="D7" s="16" t="n"/>
      <c r="E7" s="16" t="n"/>
      <c r="F7" s="8" t="n"/>
      <c r="G7" s="16" t="n"/>
      <c r="H7" s="17" t="n"/>
      <c r="I7" s="17" t="n"/>
      <c r="J7" s="18">
        <f>IFERROR(IF(OR(H7="",I7=""),"",H7/I7),"")</f>
        <v/>
      </c>
      <c r="K7" s="14">
        <f>IFERROR(IF(J7="","",IF(J7&gt;=0.9,"A*",IF(J7&gt;=0.8,"A",IF(J7&gt;=0.7,"B",IF(J7&gt;=0.6,"C",IF(J7&gt;=0.5,"D",IF(J7&gt;=0.4,"E",IF(J7&gt;=0.3,"F","U")))))))),"")</f>
        <v/>
      </c>
      <c r="L7" s="17" t="n"/>
      <c r="M7" s="17" t="n"/>
      <c r="N7" s="17" t="n"/>
      <c r="O7" s="8" t="n"/>
    </row>
    <row r="8">
      <c r="A8" s="20">
        <f>IF(F8="","",COUNTA($F$5:F8))</f>
        <v/>
      </c>
      <c r="B8" s="21" t="n"/>
      <c r="C8" s="22" t="n"/>
      <c r="D8" s="22" t="n"/>
      <c r="E8" s="22" t="n"/>
      <c r="F8" s="10" t="n"/>
      <c r="G8" s="22" t="n"/>
      <c r="H8" s="23" t="n"/>
      <c r="I8" s="23" t="n"/>
      <c r="J8" s="24">
        <f>IFERROR(IF(OR(H8="",I8=""),"",H8/I8),"")</f>
        <v/>
      </c>
      <c r="K8" s="20">
        <f>IFERROR(IF(J8="","",IF(J8&gt;=0.9,"A*",IF(J8&gt;=0.8,"A",IF(J8&gt;=0.7,"B",IF(J8&gt;=0.6,"C",IF(J8&gt;=0.5,"D",IF(J8&gt;=0.4,"E",IF(J8&gt;=0.3,"F","U")))))))),"")</f>
        <v/>
      </c>
      <c r="L8" s="23" t="n"/>
      <c r="M8" s="23" t="n"/>
      <c r="N8" s="23" t="n"/>
      <c r="O8" s="10" t="n"/>
    </row>
    <row r="9">
      <c r="A9" s="14">
        <f>IF(F9="","",COUNTA($F$5:F9))</f>
        <v/>
      </c>
      <c r="B9" s="15" t="n"/>
      <c r="C9" s="16" t="n"/>
      <c r="D9" s="16" t="n"/>
      <c r="E9" s="16" t="n"/>
      <c r="F9" s="8" t="n"/>
      <c r="G9" s="16" t="n"/>
      <c r="H9" s="17" t="n"/>
      <c r="I9" s="17" t="n"/>
      <c r="J9" s="18">
        <f>IFERROR(IF(OR(H9="",I9=""),"",H9/I9),"")</f>
        <v/>
      </c>
      <c r="K9" s="14">
        <f>IFERROR(IF(J9="","",IF(J9&gt;=0.9,"A*",IF(J9&gt;=0.8,"A",IF(J9&gt;=0.7,"B",IF(J9&gt;=0.6,"C",IF(J9&gt;=0.5,"D",IF(J9&gt;=0.4,"E",IF(J9&gt;=0.3,"F","U")))))))),"")</f>
        <v/>
      </c>
      <c r="L9" s="17" t="n"/>
      <c r="M9" s="17" t="n"/>
      <c r="N9" s="17" t="n"/>
      <c r="O9" s="8" t="n"/>
    </row>
    <row r="10">
      <c r="A10" s="20">
        <f>IF(F10="","",COUNTA($F$5:F10))</f>
        <v/>
      </c>
      <c r="B10" s="21" t="n"/>
      <c r="C10" s="22" t="n"/>
      <c r="D10" s="22" t="n"/>
      <c r="E10" s="22" t="n"/>
      <c r="F10" s="10" t="n"/>
      <c r="G10" s="22" t="n"/>
      <c r="H10" s="23" t="n"/>
      <c r="I10" s="23" t="n"/>
      <c r="J10" s="24">
        <f>IFERROR(IF(OR(H10="",I10=""),"",H10/I10),"")</f>
        <v/>
      </c>
      <c r="K10" s="20">
        <f>IFERROR(IF(J10="","",IF(J10&gt;=0.9,"A*",IF(J10&gt;=0.8,"A",IF(J10&gt;=0.7,"B",IF(J10&gt;=0.6,"C",IF(J10&gt;=0.5,"D",IF(J10&gt;=0.4,"E",IF(J10&gt;=0.3,"F","U")))))))),"")</f>
        <v/>
      </c>
      <c r="L10" s="23" t="n"/>
      <c r="M10" s="23" t="n"/>
      <c r="N10" s="23" t="n"/>
      <c r="O10" s="10" t="n"/>
    </row>
    <row r="11">
      <c r="A11" s="14">
        <f>IF(F11="","",COUNTA($F$5:F11))</f>
        <v/>
      </c>
      <c r="B11" s="15" t="n"/>
      <c r="C11" s="16" t="n"/>
      <c r="D11" s="16" t="n"/>
      <c r="E11" s="16" t="n"/>
      <c r="F11" s="8" t="n"/>
      <c r="G11" s="16" t="n"/>
      <c r="H11" s="17" t="n"/>
      <c r="I11" s="17" t="n"/>
      <c r="J11" s="18">
        <f>IFERROR(IF(OR(H11="",I11=""),"",H11/I11),"")</f>
        <v/>
      </c>
      <c r="K11" s="14">
        <f>IFERROR(IF(J11="","",IF(J11&gt;=0.9,"A*",IF(J11&gt;=0.8,"A",IF(J11&gt;=0.7,"B",IF(J11&gt;=0.6,"C",IF(J11&gt;=0.5,"D",IF(J11&gt;=0.4,"E",IF(J11&gt;=0.3,"F","U")))))))),"")</f>
        <v/>
      </c>
      <c r="L11" s="17" t="n"/>
      <c r="M11" s="17" t="n"/>
      <c r="N11" s="17" t="n"/>
      <c r="O11" s="8" t="n"/>
    </row>
    <row r="12">
      <c r="A12" s="20">
        <f>IF(F12="","",COUNTA($F$5:F12))</f>
        <v/>
      </c>
      <c r="B12" s="21" t="n"/>
      <c r="C12" s="22" t="n"/>
      <c r="D12" s="22" t="n"/>
      <c r="E12" s="22" t="n"/>
      <c r="F12" s="10" t="n"/>
      <c r="G12" s="22" t="n"/>
      <c r="H12" s="23" t="n"/>
      <c r="I12" s="23" t="n"/>
      <c r="J12" s="24">
        <f>IFERROR(IF(OR(H12="",I12=""),"",H12/I12),"")</f>
        <v/>
      </c>
      <c r="K12" s="20">
        <f>IFERROR(IF(J12="","",IF(J12&gt;=0.9,"A*",IF(J12&gt;=0.8,"A",IF(J12&gt;=0.7,"B",IF(J12&gt;=0.6,"C",IF(J12&gt;=0.5,"D",IF(J12&gt;=0.4,"E",IF(J12&gt;=0.3,"F","U")))))))),"")</f>
        <v/>
      </c>
      <c r="L12" s="23" t="n"/>
      <c r="M12" s="23" t="n"/>
      <c r="N12" s="23" t="n"/>
      <c r="O12" s="10" t="n"/>
    </row>
    <row r="13">
      <c r="A13" s="14">
        <f>IF(F13="","",COUNTA($F$5:F13))</f>
        <v/>
      </c>
      <c r="B13" s="15" t="n"/>
      <c r="C13" s="16" t="n"/>
      <c r="D13" s="16" t="n"/>
      <c r="E13" s="16" t="n"/>
      <c r="F13" s="8" t="n"/>
      <c r="G13" s="16" t="n"/>
      <c r="H13" s="17" t="n"/>
      <c r="I13" s="17" t="n"/>
      <c r="J13" s="18">
        <f>IFERROR(IF(OR(H13="",I13=""),"",H13/I13),"")</f>
        <v/>
      </c>
      <c r="K13" s="14">
        <f>IFERROR(IF(J13="","",IF(J13&gt;=0.9,"A*",IF(J13&gt;=0.8,"A",IF(J13&gt;=0.7,"B",IF(J13&gt;=0.6,"C",IF(J13&gt;=0.5,"D",IF(J13&gt;=0.4,"E",IF(J13&gt;=0.3,"F","U")))))))),"")</f>
        <v/>
      </c>
      <c r="L13" s="17" t="n"/>
      <c r="M13" s="17" t="n"/>
      <c r="N13" s="17" t="n"/>
      <c r="O13" s="8" t="n"/>
    </row>
    <row r="14">
      <c r="A14" s="20">
        <f>IF(F14="","",COUNTA($F$5:F14))</f>
        <v/>
      </c>
      <c r="B14" s="21" t="n"/>
      <c r="C14" s="22" t="n"/>
      <c r="D14" s="22" t="n"/>
      <c r="E14" s="22" t="n"/>
      <c r="F14" s="10" t="n"/>
      <c r="G14" s="22" t="n"/>
      <c r="H14" s="23" t="n"/>
      <c r="I14" s="23" t="n"/>
      <c r="J14" s="24">
        <f>IFERROR(IF(OR(H14="",I14=""),"",H14/I14),"")</f>
        <v/>
      </c>
      <c r="K14" s="20">
        <f>IFERROR(IF(J14="","",IF(J14&gt;=0.9,"A*",IF(J14&gt;=0.8,"A",IF(J14&gt;=0.7,"B",IF(J14&gt;=0.6,"C",IF(J14&gt;=0.5,"D",IF(J14&gt;=0.4,"E",IF(J14&gt;=0.3,"F","U")))))))),"")</f>
        <v/>
      </c>
      <c r="L14" s="23" t="n"/>
      <c r="M14" s="23" t="n"/>
      <c r="N14" s="23" t="n"/>
      <c r="O14" s="10" t="n"/>
    </row>
    <row r="15">
      <c r="A15" s="14">
        <f>IF(F15="","",COUNTA($F$5:F15))</f>
        <v/>
      </c>
      <c r="B15" s="15" t="n"/>
      <c r="C15" s="16" t="n"/>
      <c r="D15" s="16" t="n"/>
      <c r="E15" s="16" t="n"/>
      <c r="F15" s="8" t="n"/>
      <c r="G15" s="16" t="n"/>
      <c r="H15" s="17" t="n"/>
      <c r="I15" s="17" t="n"/>
      <c r="J15" s="18">
        <f>IFERROR(IF(OR(H15="",I15=""),"",H15/I15),"")</f>
        <v/>
      </c>
      <c r="K15" s="14">
        <f>IFERROR(IF(J15="","",IF(J15&gt;=0.9,"A*",IF(J15&gt;=0.8,"A",IF(J15&gt;=0.7,"B",IF(J15&gt;=0.6,"C",IF(J15&gt;=0.5,"D",IF(J15&gt;=0.4,"E",IF(J15&gt;=0.3,"F","U")))))))),"")</f>
        <v/>
      </c>
      <c r="L15" s="17" t="n"/>
      <c r="M15" s="17" t="n"/>
      <c r="N15" s="17" t="n"/>
      <c r="O15" s="8" t="n"/>
    </row>
    <row r="16">
      <c r="A16" s="20">
        <f>IF(F16="","",COUNTA($F$5:F16))</f>
        <v/>
      </c>
      <c r="B16" s="21" t="n"/>
      <c r="C16" s="22" t="n"/>
      <c r="D16" s="22" t="n"/>
      <c r="E16" s="22" t="n"/>
      <c r="F16" s="10" t="n"/>
      <c r="G16" s="22" t="n"/>
      <c r="H16" s="23" t="n"/>
      <c r="I16" s="23" t="n"/>
      <c r="J16" s="24">
        <f>IFERROR(IF(OR(H16="",I16=""),"",H16/I16),"")</f>
        <v/>
      </c>
      <c r="K16" s="20">
        <f>IFERROR(IF(J16="","",IF(J16&gt;=0.9,"A*",IF(J16&gt;=0.8,"A",IF(J16&gt;=0.7,"B",IF(J16&gt;=0.6,"C",IF(J16&gt;=0.5,"D",IF(J16&gt;=0.4,"E",IF(J16&gt;=0.3,"F","U")))))))),"")</f>
        <v/>
      </c>
      <c r="L16" s="23" t="n"/>
      <c r="M16" s="23" t="n"/>
      <c r="N16" s="23" t="n"/>
      <c r="O16" s="10" t="n"/>
    </row>
    <row r="17">
      <c r="A17" s="14">
        <f>IF(F17="","",COUNTA($F$5:F17))</f>
        <v/>
      </c>
      <c r="B17" s="15" t="n"/>
      <c r="C17" s="16" t="n"/>
      <c r="D17" s="16" t="n"/>
      <c r="E17" s="16" t="n"/>
      <c r="F17" s="8" t="n"/>
      <c r="G17" s="16" t="n"/>
      <c r="H17" s="17" t="n"/>
      <c r="I17" s="17" t="n"/>
      <c r="J17" s="18">
        <f>IFERROR(IF(OR(H17="",I17=""),"",H17/I17),"")</f>
        <v/>
      </c>
      <c r="K17" s="14">
        <f>IFERROR(IF(J17="","",IF(J17&gt;=0.9,"A*",IF(J17&gt;=0.8,"A",IF(J17&gt;=0.7,"B",IF(J17&gt;=0.6,"C",IF(J17&gt;=0.5,"D",IF(J17&gt;=0.4,"E",IF(J17&gt;=0.3,"F","U")))))))),"")</f>
        <v/>
      </c>
      <c r="L17" s="17" t="n"/>
      <c r="M17" s="17" t="n"/>
      <c r="N17" s="17" t="n"/>
      <c r="O17" s="8" t="n"/>
    </row>
    <row r="18">
      <c r="A18" s="20">
        <f>IF(F18="","",COUNTA($F$5:F18))</f>
        <v/>
      </c>
      <c r="B18" s="21" t="n"/>
      <c r="C18" s="22" t="n"/>
      <c r="D18" s="22" t="n"/>
      <c r="E18" s="22" t="n"/>
      <c r="F18" s="10" t="n"/>
      <c r="G18" s="22" t="n"/>
      <c r="H18" s="23" t="n"/>
      <c r="I18" s="23" t="n"/>
      <c r="J18" s="24">
        <f>IFERROR(IF(OR(H18="",I18=""),"",H18/I18),"")</f>
        <v/>
      </c>
      <c r="K18" s="20">
        <f>IFERROR(IF(J18="","",IF(J18&gt;=0.9,"A*",IF(J18&gt;=0.8,"A",IF(J18&gt;=0.7,"B",IF(J18&gt;=0.6,"C",IF(J18&gt;=0.5,"D",IF(J18&gt;=0.4,"E",IF(J18&gt;=0.3,"F","U")))))))),"")</f>
        <v/>
      </c>
      <c r="L18" s="23" t="n"/>
      <c r="M18" s="23" t="n"/>
      <c r="N18" s="23" t="n"/>
      <c r="O18" s="10" t="n"/>
    </row>
    <row r="19">
      <c r="A19" s="14">
        <f>IF(F19="","",COUNTA($F$5:F19))</f>
        <v/>
      </c>
      <c r="B19" s="15" t="n"/>
      <c r="C19" s="16" t="n"/>
      <c r="D19" s="16" t="n"/>
      <c r="E19" s="16" t="n"/>
      <c r="F19" s="8" t="n"/>
      <c r="G19" s="16" t="n"/>
      <c r="H19" s="17" t="n"/>
      <c r="I19" s="17" t="n"/>
      <c r="J19" s="18">
        <f>IFERROR(IF(OR(H19="",I19=""),"",H19/I19),"")</f>
        <v/>
      </c>
      <c r="K19" s="14">
        <f>IFERROR(IF(J19="","",IF(J19&gt;=0.9,"A*",IF(J19&gt;=0.8,"A",IF(J19&gt;=0.7,"B",IF(J19&gt;=0.6,"C",IF(J19&gt;=0.5,"D",IF(J19&gt;=0.4,"E",IF(J19&gt;=0.3,"F","U")))))))),"")</f>
        <v/>
      </c>
      <c r="L19" s="17" t="n"/>
      <c r="M19" s="17" t="n"/>
      <c r="N19" s="17" t="n"/>
      <c r="O19" s="8" t="n"/>
    </row>
    <row r="20">
      <c r="A20" s="20">
        <f>IF(F20="","",COUNTA($F$5:F20))</f>
        <v/>
      </c>
      <c r="B20" s="21" t="n"/>
      <c r="C20" s="22" t="n"/>
      <c r="D20" s="22" t="n"/>
      <c r="E20" s="22" t="n"/>
      <c r="F20" s="10" t="n"/>
      <c r="G20" s="22" t="n"/>
      <c r="H20" s="23" t="n"/>
      <c r="I20" s="23" t="n"/>
      <c r="J20" s="24">
        <f>IFERROR(IF(OR(H20="",I20=""),"",H20/I20),"")</f>
        <v/>
      </c>
      <c r="K20" s="20">
        <f>IFERROR(IF(J20="","",IF(J20&gt;=0.9,"A*",IF(J20&gt;=0.8,"A",IF(J20&gt;=0.7,"B",IF(J20&gt;=0.6,"C",IF(J20&gt;=0.5,"D",IF(J20&gt;=0.4,"E",IF(J20&gt;=0.3,"F","U")))))))),"")</f>
        <v/>
      </c>
      <c r="L20" s="23" t="n"/>
      <c r="M20" s="23" t="n"/>
      <c r="N20" s="23" t="n"/>
      <c r="O20" s="10" t="n"/>
    </row>
    <row r="21">
      <c r="A21" s="14">
        <f>IF(F21="","",COUNTA($F$5:F21))</f>
        <v/>
      </c>
      <c r="B21" s="15" t="n"/>
      <c r="C21" s="16" t="n"/>
      <c r="D21" s="16" t="n"/>
      <c r="E21" s="16" t="n"/>
      <c r="F21" s="8" t="n"/>
      <c r="G21" s="16" t="n"/>
      <c r="H21" s="17" t="n"/>
      <c r="I21" s="17" t="n"/>
      <c r="J21" s="18">
        <f>IFERROR(IF(OR(H21="",I21=""),"",H21/I21),"")</f>
        <v/>
      </c>
      <c r="K21" s="14">
        <f>IFERROR(IF(J21="","",IF(J21&gt;=0.9,"A*",IF(J21&gt;=0.8,"A",IF(J21&gt;=0.7,"B",IF(J21&gt;=0.6,"C",IF(J21&gt;=0.5,"D",IF(J21&gt;=0.4,"E",IF(J21&gt;=0.3,"F","U")))))))),"")</f>
        <v/>
      </c>
      <c r="L21" s="17" t="n"/>
      <c r="M21" s="17" t="n"/>
      <c r="N21" s="17" t="n"/>
      <c r="O21" s="8" t="n"/>
    </row>
    <row r="22">
      <c r="A22" s="20">
        <f>IF(F22="","",COUNTA($F$5:F22))</f>
        <v/>
      </c>
      <c r="B22" s="21" t="n"/>
      <c r="C22" s="22" t="n"/>
      <c r="D22" s="22" t="n"/>
      <c r="E22" s="22" t="n"/>
      <c r="F22" s="10" t="n"/>
      <c r="G22" s="22" t="n"/>
      <c r="H22" s="23" t="n"/>
      <c r="I22" s="23" t="n"/>
      <c r="J22" s="24">
        <f>IFERROR(IF(OR(H22="",I22=""),"",H22/I22),"")</f>
        <v/>
      </c>
      <c r="K22" s="20">
        <f>IFERROR(IF(J22="","",IF(J22&gt;=0.9,"A*",IF(J22&gt;=0.8,"A",IF(J22&gt;=0.7,"B",IF(J22&gt;=0.6,"C",IF(J22&gt;=0.5,"D",IF(J22&gt;=0.4,"E",IF(J22&gt;=0.3,"F","U")))))))),"")</f>
        <v/>
      </c>
      <c r="L22" s="23" t="n"/>
      <c r="M22" s="23" t="n"/>
      <c r="N22" s="23" t="n"/>
      <c r="O22" s="10" t="n"/>
    </row>
    <row r="23">
      <c r="A23" s="14">
        <f>IF(F23="","",COUNTA($F$5:F23))</f>
        <v/>
      </c>
      <c r="B23" s="15" t="n"/>
      <c r="C23" s="16" t="n"/>
      <c r="D23" s="16" t="n"/>
      <c r="E23" s="16" t="n"/>
      <c r="F23" s="8" t="n"/>
      <c r="G23" s="16" t="n"/>
      <c r="H23" s="17" t="n"/>
      <c r="I23" s="17" t="n"/>
      <c r="J23" s="18">
        <f>IFERROR(IF(OR(H23="",I23=""),"",H23/I23),"")</f>
        <v/>
      </c>
      <c r="K23" s="14">
        <f>IFERROR(IF(J23="","",IF(J23&gt;=0.9,"A*",IF(J23&gt;=0.8,"A",IF(J23&gt;=0.7,"B",IF(J23&gt;=0.6,"C",IF(J23&gt;=0.5,"D",IF(J23&gt;=0.4,"E",IF(J23&gt;=0.3,"F","U")))))))),"")</f>
        <v/>
      </c>
      <c r="L23" s="17" t="n"/>
      <c r="M23" s="17" t="n"/>
      <c r="N23" s="17" t="n"/>
      <c r="O23" s="8" t="n"/>
    </row>
    <row r="24">
      <c r="A24" s="20">
        <f>IF(F24="","",COUNTA($F$5:F24))</f>
        <v/>
      </c>
      <c r="B24" s="21" t="n"/>
      <c r="C24" s="22" t="n"/>
      <c r="D24" s="22" t="n"/>
      <c r="E24" s="22" t="n"/>
      <c r="F24" s="10" t="n"/>
      <c r="G24" s="22" t="n"/>
      <c r="H24" s="23" t="n"/>
      <c r="I24" s="23" t="n"/>
      <c r="J24" s="24">
        <f>IFERROR(IF(OR(H24="",I24=""),"",H24/I24),"")</f>
        <v/>
      </c>
      <c r="K24" s="20">
        <f>IFERROR(IF(J24="","",IF(J24&gt;=0.9,"A*",IF(J24&gt;=0.8,"A",IF(J24&gt;=0.7,"B",IF(J24&gt;=0.6,"C",IF(J24&gt;=0.5,"D",IF(J24&gt;=0.4,"E",IF(J24&gt;=0.3,"F","U")))))))),"")</f>
        <v/>
      </c>
      <c r="L24" s="23" t="n"/>
      <c r="M24" s="23" t="n"/>
      <c r="N24" s="23" t="n"/>
      <c r="O24" s="10" t="n"/>
    </row>
    <row r="25">
      <c r="A25" s="14">
        <f>IF(F25="","",COUNTA($F$5:F25))</f>
        <v/>
      </c>
      <c r="B25" s="15" t="n"/>
      <c r="C25" s="16" t="n"/>
      <c r="D25" s="16" t="n"/>
      <c r="E25" s="16" t="n"/>
      <c r="F25" s="8" t="n"/>
      <c r="G25" s="16" t="n"/>
      <c r="H25" s="17" t="n"/>
      <c r="I25" s="17" t="n"/>
      <c r="J25" s="18">
        <f>IFERROR(IF(OR(H25="",I25=""),"",H25/I25),"")</f>
        <v/>
      </c>
      <c r="K25" s="14">
        <f>IFERROR(IF(J25="","",IF(J25&gt;=0.9,"A*",IF(J25&gt;=0.8,"A",IF(J25&gt;=0.7,"B",IF(J25&gt;=0.6,"C",IF(J25&gt;=0.5,"D",IF(J25&gt;=0.4,"E",IF(J25&gt;=0.3,"F","U")))))))),"")</f>
        <v/>
      </c>
      <c r="L25" s="17" t="n"/>
      <c r="M25" s="17" t="n"/>
      <c r="N25" s="17" t="n"/>
      <c r="O25" s="8" t="n"/>
    </row>
    <row r="26">
      <c r="A26" s="20">
        <f>IF(F26="","",COUNTA($F$5:F26))</f>
        <v/>
      </c>
      <c r="B26" s="21" t="n"/>
      <c r="C26" s="22" t="n"/>
      <c r="D26" s="22" t="n"/>
      <c r="E26" s="22" t="n"/>
      <c r="F26" s="10" t="n"/>
      <c r="G26" s="22" t="n"/>
      <c r="H26" s="23" t="n"/>
      <c r="I26" s="23" t="n"/>
      <c r="J26" s="24">
        <f>IFERROR(IF(OR(H26="",I26=""),"",H26/I26),"")</f>
        <v/>
      </c>
      <c r="K26" s="20">
        <f>IFERROR(IF(J26="","",IF(J26&gt;=0.9,"A*",IF(J26&gt;=0.8,"A",IF(J26&gt;=0.7,"B",IF(J26&gt;=0.6,"C",IF(J26&gt;=0.5,"D",IF(J26&gt;=0.4,"E",IF(J26&gt;=0.3,"F","U")))))))),"")</f>
        <v/>
      </c>
      <c r="L26" s="23" t="n"/>
      <c r="M26" s="23" t="n"/>
      <c r="N26" s="23" t="n"/>
      <c r="O26" s="10" t="n"/>
    </row>
    <row r="27">
      <c r="A27" s="14">
        <f>IF(F27="","",COUNTA($F$5:F27))</f>
        <v/>
      </c>
      <c r="B27" s="15" t="n"/>
      <c r="C27" s="16" t="n"/>
      <c r="D27" s="16" t="n"/>
      <c r="E27" s="16" t="n"/>
      <c r="F27" s="8" t="n"/>
      <c r="G27" s="16" t="n"/>
      <c r="H27" s="17" t="n"/>
      <c r="I27" s="17" t="n"/>
      <c r="J27" s="18">
        <f>IFERROR(IF(OR(H27="",I27=""),"",H27/I27),"")</f>
        <v/>
      </c>
      <c r="K27" s="14">
        <f>IFERROR(IF(J27="","",IF(J27&gt;=0.9,"A*",IF(J27&gt;=0.8,"A",IF(J27&gt;=0.7,"B",IF(J27&gt;=0.6,"C",IF(J27&gt;=0.5,"D",IF(J27&gt;=0.4,"E",IF(J27&gt;=0.3,"F","U")))))))),"")</f>
        <v/>
      </c>
      <c r="L27" s="17" t="n"/>
      <c r="M27" s="17" t="n"/>
      <c r="N27" s="17" t="n"/>
      <c r="O27" s="8" t="n"/>
    </row>
    <row r="28">
      <c r="A28" s="20">
        <f>IF(F28="","",COUNTA($F$5:F28))</f>
        <v/>
      </c>
      <c r="B28" s="21" t="n"/>
      <c r="C28" s="22" t="n"/>
      <c r="D28" s="22" t="n"/>
      <c r="E28" s="22" t="n"/>
      <c r="F28" s="10" t="n"/>
      <c r="G28" s="22" t="n"/>
      <c r="H28" s="23" t="n"/>
      <c r="I28" s="23" t="n"/>
      <c r="J28" s="24">
        <f>IFERROR(IF(OR(H28="",I28=""),"",H28/I28),"")</f>
        <v/>
      </c>
      <c r="K28" s="20">
        <f>IFERROR(IF(J28="","",IF(J28&gt;=0.9,"A*",IF(J28&gt;=0.8,"A",IF(J28&gt;=0.7,"B",IF(J28&gt;=0.6,"C",IF(J28&gt;=0.5,"D",IF(J28&gt;=0.4,"E",IF(J28&gt;=0.3,"F","U")))))))),"")</f>
        <v/>
      </c>
      <c r="L28" s="23" t="n"/>
      <c r="M28" s="23" t="n"/>
      <c r="N28" s="23" t="n"/>
      <c r="O28" s="10" t="n"/>
    </row>
    <row r="29">
      <c r="A29" s="14">
        <f>IF(F29="","",COUNTA($F$5:F29))</f>
        <v/>
      </c>
      <c r="B29" s="15" t="n"/>
      <c r="C29" s="16" t="n"/>
      <c r="D29" s="16" t="n"/>
      <c r="E29" s="16" t="n"/>
      <c r="F29" s="8" t="n"/>
      <c r="G29" s="16" t="n"/>
      <c r="H29" s="17" t="n"/>
      <c r="I29" s="17" t="n"/>
      <c r="J29" s="18">
        <f>IFERROR(IF(OR(H29="",I29=""),"",H29/I29),"")</f>
        <v/>
      </c>
      <c r="K29" s="14">
        <f>IFERROR(IF(J29="","",IF(J29&gt;=0.9,"A*",IF(J29&gt;=0.8,"A",IF(J29&gt;=0.7,"B",IF(J29&gt;=0.6,"C",IF(J29&gt;=0.5,"D",IF(J29&gt;=0.4,"E",IF(J29&gt;=0.3,"F","U")))))))),"")</f>
        <v/>
      </c>
      <c r="L29" s="17" t="n"/>
      <c r="M29" s="17" t="n"/>
      <c r="N29" s="17" t="n"/>
      <c r="O29" s="8" t="n"/>
    </row>
    <row r="30">
      <c r="A30" s="20">
        <f>IF(F30="","",COUNTA($F$5:F30))</f>
        <v/>
      </c>
      <c r="B30" s="21" t="n"/>
      <c r="C30" s="22" t="n"/>
      <c r="D30" s="22" t="n"/>
      <c r="E30" s="22" t="n"/>
      <c r="F30" s="10" t="n"/>
      <c r="G30" s="22" t="n"/>
      <c r="H30" s="23" t="n"/>
      <c r="I30" s="23" t="n"/>
      <c r="J30" s="24">
        <f>IFERROR(IF(OR(H30="",I30=""),"",H30/I30),"")</f>
        <v/>
      </c>
      <c r="K30" s="20">
        <f>IFERROR(IF(J30="","",IF(J30&gt;=0.9,"A*",IF(J30&gt;=0.8,"A",IF(J30&gt;=0.7,"B",IF(J30&gt;=0.6,"C",IF(J30&gt;=0.5,"D",IF(J30&gt;=0.4,"E",IF(J30&gt;=0.3,"F","U")))))))),"")</f>
        <v/>
      </c>
      <c r="L30" s="23" t="n"/>
      <c r="M30" s="23" t="n"/>
      <c r="N30" s="23" t="n"/>
      <c r="O30" s="10" t="n"/>
    </row>
    <row r="31">
      <c r="A31" s="14">
        <f>IF(F31="","",COUNTA($F$5:F31))</f>
        <v/>
      </c>
      <c r="B31" s="15" t="n"/>
      <c r="C31" s="16" t="n"/>
      <c r="D31" s="16" t="n"/>
      <c r="E31" s="16" t="n"/>
      <c r="F31" s="8" t="n"/>
      <c r="G31" s="16" t="n"/>
      <c r="H31" s="17" t="n"/>
      <c r="I31" s="17" t="n"/>
      <c r="J31" s="18">
        <f>IFERROR(IF(OR(H31="",I31=""),"",H31/I31),"")</f>
        <v/>
      </c>
      <c r="K31" s="14">
        <f>IFERROR(IF(J31="","",IF(J31&gt;=0.9,"A*",IF(J31&gt;=0.8,"A",IF(J31&gt;=0.7,"B",IF(J31&gt;=0.6,"C",IF(J31&gt;=0.5,"D",IF(J31&gt;=0.4,"E",IF(J31&gt;=0.3,"F","U")))))))),"")</f>
        <v/>
      </c>
      <c r="L31" s="17" t="n"/>
      <c r="M31" s="17" t="n"/>
      <c r="N31" s="17" t="n"/>
      <c r="O31" s="8" t="n"/>
    </row>
    <row r="32">
      <c r="A32" s="20">
        <f>IF(F32="","",COUNTA($F$5:F32))</f>
        <v/>
      </c>
      <c r="B32" s="21" t="n"/>
      <c r="C32" s="22" t="n"/>
      <c r="D32" s="22" t="n"/>
      <c r="E32" s="22" t="n"/>
      <c r="F32" s="10" t="n"/>
      <c r="G32" s="22" t="n"/>
      <c r="H32" s="23" t="n"/>
      <c r="I32" s="23" t="n"/>
      <c r="J32" s="24">
        <f>IFERROR(IF(OR(H32="",I32=""),"",H32/I32),"")</f>
        <v/>
      </c>
      <c r="K32" s="20">
        <f>IFERROR(IF(J32="","",IF(J32&gt;=0.9,"A*",IF(J32&gt;=0.8,"A",IF(J32&gt;=0.7,"B",IF(J32&gt;=0.6,"C",IF(J32&gt;=0.5,"D",IF(J32&gt;=0.4,"E",IF(J32&gt;=0.3,"F","U")))))))),"")</f>
        <v/>
      </c>
      <c r="L32" s="23" t="n"/>
      <c r="M32" s="23" t="n"/>
      <c r="N32" s="23" t="n"/>
      <c r="O32" s="10" t="n"/>
    </row>
    <row r="33">
      <c r="A33" s="14">
        <f>IF(F33="","",COUNTA($F$5:F33))</f>
        <v/>
      </c>
      <c r="B33" s="15" t="n"/>
      <c r="C33" s="16" t="n"/>
      <c r="D33" s="16" t="n"/>
      <c r="E33" s="16" t="n"/>
      <c r="F33" s="8" t="n"/>
      <c r="G33" s="16" t="n"/>
      <c r="H33" s="17" t="n"/>
      <c r="I33" s="17" t="n"/>
      <c r="J33" s="18">
        <f>IFERROR(IF(OR(H33="",I33=""),"",H33/I33),"")</f>
        <v/>
      </c>
      <c r="K33" s="14">
        <f>IFERROR(IF(J33="","",IF(J33&gt;=0.9,"A*",IF(J33&gt;=0.8,"A",IF(J33&gt;=0.7,"B",IF(J33&gt;=0.6,"C",IF(J33&gt;=0.5,"D",IF(J33&gt;=0.4,"E",IF(J33&gt;=0.3,"F","U")))))))),"")</f>
        <v/>
      </c>
      <c r="L33" s="17" t="n"/>
      <c r="M33" s="17" t="n"/>
      <c r="N33" s="17" t="n"/>
      <c r="O33" s="8" t="n"/>
    </row>
    <row r="34">
      <c r="A34" s="20">
        <f>IF(F34="","",COUNTA($F$5:F34))</f>
        <v/>
      </c>
      <c r="B34" s="21" t="n"/>
      <c r="C34" s="22" t="n"/>
      <c r="D34" s="22" t="n"/>
      <c r="E34" s="22" t="n"/>
      <c r="F34" s="10" t="n"/>
      <c r="G34" s="22" t="n"/>
      <c r="H34" s="23" t="n"/>
      <c r="I34" s="23" t="n"/>
      <c r="J34" s="24">
        <f>IFERROR(IF(OR(H34="",I34=""),"",H34/I34),"")</f>
        <v/>
      </c>
      <c r="K34" s="20">
        <f>IFERROR(IF(J34="","",IF(J34&gt;=0.9,"A*",IF(J34&gt;=0.8,"A",IF(J34&gt;=0.7,"B",IF(J34&gt;=0.6,"C",IF(J34&gt;=0.5,"D",IF(J34&gt;=0.4,"E",IF(J34&gt;=0.3,"F","U")))))))),"")</f>
        <v/>
      </c>
      <c r="L34" s="23" t="n"/>
      <c r="M34" s="23" t="n"/>
      <c r="N34" s="23" t="n"/>
      <c r="O34" s="10" t="n"/>
    </row>
    <row r="35">
      <c r="A35" s="14">
        <f>IF(F35="","",COUNTA($F$5:F35))</f>
        <v/>
      </c>
      <c r="B35" s="15" t="n"/>
      <c r="C35" s="16" t="n"/>
      <c r="D35" s="16" t="n"/>
      <c r="E35" s="16" t="n"/>
      <c r="F35" s="8" t="n"/>
      <c r="G35" s="16" t="n"/>
      <c r="H35" s="17" t="n"/>
      <c r="I35" s="17" t="n"/>
      <c r="J35" s="18">
        <f>IFERROR(IF(OR(H35="",I35=""),"",H35/I35),"")</f>
        <v/>
      </c>
      <c r="K35" s="14">
        <f>IFERROR(IF(J35="","",IF(J35&gt;=0.9,"A*",IF(J35&gt;=0.8,"A",IF(J35&gt;=0.7,"B",IF(J35&gt;=0.6,"C",IF(J35&gt;=0.5,"D",IF(J35&gt;=0.4,"E",IF(J35&gt;=0.3,"F","U")))))))),"")</f>
        <v/>
      </c>
      <c r="L35" s="17" t="n"/>
      <c r="M35" s="17" t="n"/>
      <c r="N35" s="17" t="n"/>
      <c r="O35" s="8" t="n"/>
    </row>
    <row r="36">
      <c r="A36" s="20">
        <f>IF(F36="","",COUNTA($F$5:F36))</f>
        <v/>
      </c>
      <c r="B36" s="21" t="n"/>
      <c r="C36" s="22" t="n"/>
      <c r="D36" s="22" t="n"/>
      <c r="E36" s="22" t="n"/>
      <c r="F36" s="10" t="n"/>
      <c r="G36" s="22" t="n"/>
      <c r="H36" s="23" t="n"/>
      <c r="I36" s="23" t="n"/>
      <c r="J36" s="24">
        <f>IFERROR(IF(OR(H36="",I36=""),"",H36/I36),"")</f>
        <v/>
      </c>
      <c r="K36" s="20">
        <f>IFERROR(IF(J36="","",IF(J36&gt;=0.9,"A*",IF(J36&gt;=0.8,"A",IF(J36&gt;=0.7,"B",IF(J36&gt;=0.6,"C",IF(J36&gt;=0.5,"D",IF(J36&gt;=0.4,"E",IF(J36&gt;=0.3,"F","U")))))))),"")</f>
        <v/>
      </c>
      <c r="L36" s="23" t="n"/>
      <c r="M36" s="23" t="n"/>
      <c r="N36" s="23" t="n"/>
      <c r="O36" s="10" t="n"/>
    </row>
    <row r="37">
      <c r="A37" s="14">
        <f>IF(F37="","",COUNTA($F$5:F37))</f>
        <v/>
      </c>
      <c r="B37" s="15" t="n"/>
      <c r="C37" s="16" t="n"/>
      <c r="D37" s="16" t="n"/>
      <c r="E37" s="16" t="n"/>
      <c r="F37" s="8" t="n"/>
      <c r="G37" s="16" t="n"/>
      <c r="H37" s="17" t="n"/>
      <c r="I37" s="17" t="n"/>
      <c r="J37" s="18">
        <f>IFERROR(IF(OR(H37="",I37=""),"",H37/I37),"")</f>
        <v/>
      </c>
      <c r="K37" s="14">
        <f>IFERROR(IF(J37="","",IF(J37&gt;=0.9,"A*",IF(J37&gt;=0.8,"A",IF(J37&gt;=0.7,"B",IF(J37&gt;=0.6,"C",IF(J37&gt;=0.5,"D",IF(J37&gt;=0.4,"E",IF(J37&gt;=0.3,"F","U")))))))),"")</f>
        <v/>
      </c>
      <c r="L37" s="17" t="n"/>
      <c r="M37" s="17" t="n"/>
      <c r="N37" s="17" t="n"/>
      <c r="O37" s="8" t="n"/>
    </row>
    <row r="38">
      <c r="A38" s="20">
        <f>IF(F38="","",COUNTA($F$5:F38))</f>
        <v/>
      </c>
      <c r="B38" s="21" t="n"/>
      <c r="C38" s="22" t="n"/>
      <c r="D38" s="22" t="n"/>
      <c r="E38" s="22" t="n"/>
      <c r="F38" s="10" t="n"/>
      <c r="G38" s="22" t="n"/>
      <c r="H38" s="23" t="n"/>
      <c r="I38" s="23" t="n"/>
      <c r="J38" s="24">
        <f>IFERROR(IF(OR(H38="",I38=""),"",H38/I38),"")</f>
        <v/>
      </c>
      <c r="K38" s="20">
        <f>IFERROR(IF(J38="","",IF(J38&gt;=0.9,"A*",IF(J38&gt;=0.8,"A",IF(J38&gt;=0.7,"B",IF(J38&gt;=0.6,"C",IF(J38&gt;=0.5,"D",IF(J38&gt;=0.4,"E",IF(J38&gt;=0.3,"F","U")))))))),"")</f>
        <v/>
      </c>
      <c r="L38" s="23" t="n"/>
      <c r="M38" s="23" t="n"/>
      <c r="N38" s="23" t="n"/>
      <c r="O38" s="10" t="n"/>
    </row>
    <row r="39">
      <c r="A39" s="14">
        <f>IF(F39="","",COUNTA($F$5:F39))</f>
        <v/>
      </c>
      <c r="B39" s="15" t="n"/>
      <c r="C39" s="16" t="n"/>
      <c r="D39" s="16" t="n"/>
      <c r="E39" s="16" t="n"/>
      <c r="F39" s="8" t="n"/>
      <c r="G39" s="16" t="n"/>
      <c r="H39" s="17" t="n"/>
      <c r="I39" s="17" t="n"/>
      <c r="J39" s="18">
        <f>IFERROR(IF(OR(H39="",I39=""),"",H39/I39),"")</f>
        <v/>
      </c>
      <c r="K39" s="14">
        <f>IFERROR(IF(J39="","",IF(J39&gt;=0.9,"A*",IF(J39&gt;=0.8,"A",IF(J39&gt;=0.7,"B",IF(J39&gt;=0.6,"C",IF(J39&gt;=0.5,"D",IF(J39&gt;=0.4,"E",IF(J39&gt;=0.3,"F","U")))))))),"")</f>
        <v/>
      </c>
      <c r="L39" s="17" t="n"/>
      <c r="M39" s="17" t="n"/>
      <c r="N39" s="17" t="n"/>
      <c r="O39" s="8" t="n"/>
    </row>
    <row r="40">
      <c r="A40" s="20">
        <f>IF(F40="","",COUNTA($F$5:F40))</f>
        <v/>
      </c>
      <c r="B40" s="21" t="n"/>
      <c r="C40" s="22" t="n"/>
      <c r="D40" s="22" t="n"/>
      <c r="E40" s="22" t="n"/>
      <c r="F40" s="10" t="n"/>
      <c r="G40" s="22" t="n"/>
      <c r="H40" s="23" t="n"/>
      <c r="I40" s="23" t="n"/>
      <c r="J40" s="24">
        <f>IFERROR(IF(OR(H40="",I40=""),"",H40/I40),"")</f>
        <v/>
      </c>
      <c r="K40" s="20">
        <f>IFERROR(IF(J40="","",IF(J40&gt;=0.9,"A*",IF(J40&gt;=0.8,"A",IF(J40&gt;=0.7,"B",IF(J40&gt;=0.6,"C",IF(J40&gt;=0.5,"D",IF(J40&gt;=0.4,"E",IF(J40&gt;=0.3,"F","U")))))))),"")</f>
        <v/>
      </c>
      <c r="L40" s="23" t="n"/>
      <c r="M40" s="23" t="n"/>
      <c r="N40" s="23" t="n"/>
      <c r="O40" s="10" t="n"/>
    </row>
    <row r="41">
      <c r="A41" s="14">
        <f>IF(F41="","",COUNTA($F$5:F41))</f>
        <v/>
      </c>
      <c r="B41" s="15" t="n"/>
      <c r="C41" s="16" t="n"/>
      <c r="D41" s="16" t="n"/>
      <c r="E41" s="16" t="n"/>
      <c r="F41" s="8" t="n"/>
      <c r="G41" s="16" t="n"/>
      <c r="H41" s="17" t="n"/>
      <c r="I41" s="17" t="n"/>
      <c r="J41" s="18">
        <f>IFERROR(IF(OR(H41="",I41=""),"",H41/I41),"")</f>
        <v/>
      </c>
      <c r="K41" s="14">
        <f>IFERROR(IF(J41="","",IF(J41&gt;=0.9,"A*",IF(J41&gt;=0.8,"A",IF(J41&gt;=0.7,"B",IF(J41&gt;=0.6,"C",IF(J41&gt;=0.5,"D",IF(J41&gt;=0.4,"E",IF(J41&gt;=0.3,"F","U")))))))),"")</f>
        <v/>
      </c>
      <c r="L41" s="17" t="n"/>
      <c r="M41" s="17" t="n"/>
      <c r="N41" s="17" t="n"/>
      <c r="O41" s="8" t="n"/>
    </row>
    <row r="42">
      <c r="A42" s="20">
        <f>IF(F42="","",COUNTA($F$5:F42))</f>
        <v/>
      </c>
      <c r="B42" s="21" t="n"/>
      <c r="C42" s="22" t="n"/>
      <c r="D42" s="22" t="n"/>
      <c r="E42" s="22" t="n"/>
      <c r="F42" s="10" t="n"/>
      <c r="G42" s="22" t="n"/>
      <c r="H42" s="23" t="n"/>
      <c r="I42" s="23" t="n"/>
      <c r="J42" s="24">
        <f>IFERROR(IF(OR(H42="",I42=""),"",H42/I42),"")</f>
        <v/>
      </c>
      <c r="K42" s="20">
        <f>IFERROR(IF(J42="","",IF(J42&gt;=0.9,"A*",IF(J42&gt;=0.8,"A",IF(J42&gt;=0.7,"B",IF(J42&gt;=0.6,"C",IF(J42&gt;=0.5,"D",IF(J42&gt;=0.4,"E",IF(J42&gt;=0.3,"F","U")))))))),"")</f>
        <v/>
      </c>
      <c r="L42" s="23" t="n"/>
      <c r="M42" s="23" t="n"/>
      <c r="N42" s="23" t="n"/>
      <c r="O42" s="10" t="n"/>
    </row>
    <row r="43">
      <c r="A43" s="14">
        <f>IF(F43="","",COUNTA($F$5:F43))</f>
        <v/>
      </c>
      <c r="B43" s="15" t="n"/>
      <c r="C43" s="16" t="n"/>
      <c r="D43" s="16" t="n"/>
      <c r="E43" s="16" t="n"/>
      <c r="F43" s="8" t="n"/>
      <c r="G43" s="16" t="n"/>
      <c r="H43" s="17" t="n"/>
      <c r="I43" s="17" t="n"/>
      <c r="J43" s="18">
        <f>IFERROR(IF(OR(H43="",I43=""),"",H43/I43),"")</f>
        <v/>
      </c>
      <c r="K43" s="14">
        <f>IFERROR(IF(J43="","",IF(J43&gt;=0.9,"A*",IF(J43&gt;=0.8,"A",IF(J43&gt;=0.7,"B",IF(J43&gt;=0.6,"C",IF(J43&gt;=0.5,"D",IF(J43&gt;=0.4,"E",IF(J43&gt;=0.3,"F","U")))))))),"")</f>
        <v/>
      </c>
      <c r="L43" s="17" t="n"/>
      <c r="M43" s="17" t="n"/>
      <c r="N43" s="17" t="n"/>
      <c r="O43" s="8" t="n"/>
    </row>
    <row r="44">
      <c r="A44" s="20">
        <f>IF(F44="","",COUNTA($F$5:F44))</f>
        <v/>
      </c>
      <c r="B44" s="21" t="n"/>
      <c r="C44" s="22" t="n"/>
      <c r="D44" s="22" t="n"/>
      <c r="E44" s="22" t="n"/>
      <c r="F44" s="10" t="n"/>
      <c r="G44" s="22" t="n"/>
      <c r="H44" s="23" t="n"/>
      <c r="I44" s="23" t="n"/>
      <c r="J44" s="24">
        <f>IFERROR(IF(OR(H44="",I44=""),"",H44/I44),"")</f>
        <v/>
      </c>
      <c r="K44" s="20">
        <f>IFERROR(IF(J44="","",IF(J44&gt;=0.9,"A*",IF(J44&gt;=0.8,"A",IF(J44&gt;=0.7,"B",IF(J44&gt;=0.6,"C",IF(J44&gt;=0.5,"D",IF(J44&gt;=0.4,"E",IF(J44&gt;=0.3,"F","U")))))))),"")</f>
        <v/>
      </c>
      <c r="L44" s="23" t="n"/>
      <c r="M44" s="23" t="n"/>
      <c r="N44" s="23" t="n"/>
      <c r="O44" s="10" t="n"/>
    </row>
    <row r="45">
      <c r="A45" s="14">
        <f>IF(F45="","",COUNTA($F$5:F45))</f>
        <v/>
      </c>
      <c r="B45" s="15" t="n"/>
      <c r="C45" s="16" t="n"/>
      <c r="D45" s="16" t="n"/>
      <c r="E45" s="16" t="n"/>
      <c r="F45" s="8" t="n"/>
      <c r="G45" s="16" t="n"/>
      <c r="H45" s="17" t="n"/>
      <c r="I45" s="17" t="n"/>
      <c r="J45" s="18">
        <f>IFERROR(IF(OR(H45="",I45=""),"",H45/I45),"")</f>
        <v/>
      </c>
      <c r="K45" s="14">
        <f>IFERROR(IF(J45="","",IF(J45&gt;=0.9,"A*",IF(J45&gt;=0.8,"A",IF(J45&gt;=0.7,"B",IF(J45&gt;=0.6,"C",IF(J45&gt;=0.5,"D",IF(J45&gt;=0.4,"E",IF(J45&gt;=0.3,"F","U")))))))),"")</f>
        <v/>
      </c>
      <c r="L45" s="17" t="n"/>
      <c r="M45" s="17" t="n"/>
      <c r="N45" s="17" t="n"/>
      <c r="O45" s="8" t="n"/>
    </row>
    <row r="46">
      <c r="A46" s="20">
        <f>IF(F46="","",COUNTA($F$5:F46))</f>
        <v/>
      </c>
      <c r="B46" s="21" t="n"/>
      <c r="C46" s="22" t="n"/>
      <c r="D46" s="22" t="n"/>
      <c r="E46" s="22" t="n"/>
      <c r="F46" s="10" t="n"/>
      <c r="G46" s="22" t="n"/>
      <c r="H46" s="23" t="n"/>
      <c r="I46" s="23" t="n"/>
      <c r="J46" s="24">
        <f>IFERROR(IF(OR(H46="",I46=""),"",H46/I46),"")</f>
        <v/>
      </c>
      <c r="K46" s="20">
        <f>IFERROR(IF(J46="","",IF(J46&gt;=0.9,"A*",IF(J46&gt;=0.8,"A",IF(J46&gt;=0.7,"B",IF(J46&gt;=0.6,"C",IF(J46&gt;=0.5,"D",IF(J46&gt;=0.4,"E",IF(J46&gt;=0.3,"F","U")))))))),"")</f>
        <v/>
      </c>
      <c r="L46" s="23" t="n"/>
      <c r="M46" s="23" t="n"/>
      <c r="N46" s="23" t="n"/>
      <c r="O46" s="10" t="n"/>
    </row>
    <row r="47">
      <c r="A47" s="14">
        <f>IF(F47="","",COUNTA($F$5:F47))</f>
        <v/>
      </c>
      <c r="B47" s="15" t="n"/>
      <c r="C47" s="16" t="n"/>
      <c r="D47" s="16" t="n"/>
      <c r="E47" s="16" t="n"/>
      <c r="F47" s="8" t="n"/>
      <c r="G47" s="16" t="n"/>
      <c r="H47" s="17" t="n"/>
      <c r="I47" s="17" t="n"/>
      <c r="J47" s="18">
        <f>IFERROR(IF(OR(H47="",I47=""),"",H47/I47),"")</f>
        <v/>
      </c>
      <c r="K47" s="14">
        <f>IFERROR(IF(J47="","",IF(J47&gt;=0.9,"A*",IF(J47&gt;=0.8,"A",IF(J47&gt;=0.7,"B",IF(J47&gt;=0.6,"C",IF(J47&gt;=0.5,"D",IF(J47&gt;=0.4,"E",IF(J47&gt;=0.3,"F","U")))))))),"")</f>
        <v/>
      </c>
      <c r="L47" s="17" t="n"/>
      <c r="M47" s="17" t="n"/>
      <c r="N47" s="17" t="n"/>
      <c r="O47" s="8" t="n"/>
    </row>
    <row r="48">
      <c r="A48" s="20">
        <f>IF(F48="","",COUNTA($F$5:F48))</f>
        <v/>
      </c>
      <c r="B48" s="21" t="n"/>
      <c r="C48" s="22" t="n"/>
      <c r="D48" s="22" t="n"/>
      <c r="E48" s="22" t="n"/>
      <c r="F48" s="10" t="n"/>
      <c r="G48" s="22" t="n"/>
      <c r="H48" s="23" t="n"/>
      <c r="I48" s="23" t="n"/>
      <c r="J48" s="24">
        <f>IFERROR(IF(OR(H48="",I48=""),"",H48/I48),"")</f>
        <v/>
      </c>
      <c r="K48" s="20">
        <f>IFERROR(IF(J48="","",IF(J48&gt;=0.9,"A*",IF(J48&gt;=0.8,"A",IF(J48&gt;=0.7,"B",IF(J48&gt;=0.6,"C",IF(J48&gt;=0.5,"D",IF(J48&gt;=0.4,"E",IF(J48&gt;=0.3,"F","U")))))))),"")</f>
        <v/>
      </c>
      <c r="L48" s="23" t="n"/>
      <c r="M48" s="23" t="n"/>
      <c r="N48" s="23" t="n"/>
      <c r="O48" s="10" t="n"/>
    </row>
    <row r="49">
      <c r="A49" s="14">
        <f>IF(F49="","",COUNTA($F$5:F49))</f>
        <v/>
      </c>
      <c r="B49" s="15" t="n"/>
      <c r="C49" s="16" t="n"/>
      <c r="D49" s="16" t="n"/>
      <c r="E49" s="16" t="n"/>
      <c r="F49" s="8" t="n"/>
      <c r="G49" s="16" t="n"/>
      <c r="H49" s="17" t="n"/>
      <c r="I49" s="17" t="n"/>
      <c r="J49" s="18">
        <f>IFERROR(IF(OR(H49="",I49=""),"",H49/I49),"")</f>
        <v/>
      </c>
      <c r="K49" s="14">
        <f>IFERROR(IF(J49="","",IF(J49&gt;=0.9,"A*",IF(J49&gt;=0.8,"A",IF(J49&gt;=0.7,"B",IF(J49&gt;=0.6,"C",IF(J49&gt;=0.5,"D",IF(J49&gt;=0.4,"E",IF(J49&gt;=0.3,"F","U")))))))),"")</f>
        <v/>
      </c>
      <c r="L49" s="17" t="n"/>
      <c r="M49" s="17" t="n"/>
      <c r="N49" s="17" t="n"/>
      <c r="O49" s="8" t="n"/>
    </row>
    <row r="50">
      <c r="A50" s="20">
        <f>IF(F50="","",COUNTA($F$5:F50))</f>
        <v/>
      </c>
      <c r="B50" s="21" t="n"/>
      <c r="C50" s="22" t="n"/>
      <c r="D50" s="22" t="n"/>
      <c r="E50" s="22" t="n"/>
      <c r="F50" s="10" t="n"/>
      <c r="G50" s="22" t="n"/>
      <c r="H50" s="23" t="n"/>
      <c r="I50" s="23" t="n"/>
      <c r="J50" s="24">
        <f>IFERROR(IF(OR(H50="",I50=""),"",H50/I50),"")</f>
        <v/>
      </c>
      <c r="K50" s="20">
        <f>IFERROR(IF(J50="","",IF(J50&gt;=0.9,"A*",IF(J50&gt;=0.8,"A",IF(J50&gt;=0.7,"B",IF(J50&gt;=0.6,"C",IF(J50&gt;=0.5,"D",IF(J50&gt;=0.4,"E",IF(J50&gt;=0.3,"F","U")))))))),"")</f>
        <v/>
      </c>
      <c r="L50" s="23" t="n"/>
      <c r="M50" s="23" t="n"/>
      <c r="N50" s="23" t="n"/>
      <c r="O50" s="10" t="n"/>
    </row>
    <row r="51">
      <c r="A51" s="14">
        <f>IF(F51="","",COUNTA($F$5:F51))</f>
        <v/>
      </c>
      <c r="B51" s="15" t="n"/>
      <c r="C51" s="16" t="n"/>
      <c r="D51" s="16" t="n"/>
      <c r="E51" s="16" t="n"/>
      <c r="F51" s="8" t="n"/>
      <c r="G51" s="16" t="n"/>
      <c r="H51" s="17" t="n"/>
      <c r="I51" s="17" t="n"/>
      <c r="J51" s="18">
        <f>IFERROR(IF(OR(H51="",I51=""),"",H51/I51),"")</f>
        <v/>
      </c>
      <c r="K51" s="14">
        <f>IFERROR(IF(J51="","",IF(J51&gt;=0.9,"A*",IF(J51&gt;=0.8,"A",IF(J51&gt;=0.7,"B",IF(J51&gt;=0.6,"C",IF(J51&gt;=0.5,"D",IF(J51&gt;=0.4,"E",IF(J51&gt;=0.3,"F","U")))))))),"")</f>
        <v/>
      </c>
      <c r="L51" s="17" t="n"/>
      <c r="M51" s="17" t="n"/>
      <c r="N51" s="17" t="n"/>
      <c r="O51" s="8" t="n"/>
    </row>
    <row r="52">
      <c r="A52" s="20">
        <f>IF(F52="","",COUNTA($F$5:F52))</f>
        <v/>
      </c>
      <c r="B52" s="21" t="n"/>
      <c r="C52" s="22" t="n"/>
      <c r="D52" s="22" t="n"/>
      <c r="E52" s="22" t="n"/>
      <c r="F52" s="10" t="n"/>
      <c r="G52" s="22" t="n"/>
      <c r="H52" s="23" t="n"/>
      <c r="I52" s="23" t="n"/>
      <c r="J52" s="24">
        <f>IFERROR(IF(OR(H52="",I52=""),"",H52/I52),"")</f>
        <v/>
      </c>
      <c r="K52" s="20">
        <f>IFERROR(IF(J52="","",IF(J52&gt;=0.9,"A*",IF(J52&gt;=0.8,"A",IF(J52&gt;=0.7,"B",IF(J52&gt;=0.6,"C",IF(J52&gt;=0.5,"D",IF(J52&gt;=0.4,"E",IF(J52&gt;=0.3,"F","U")))))))),"")</f>
        <v/>
      </c>
      <c r="L52" s="23" t="n"/>
      <c r="M52" s="23" t="n"/>
      <c r="N52" s="23" t="n"/>
      <c r="O52" s="10" t="n"/>
    </row>
    <row r="53">
      <c r="A53" s="14">
        <f>IF(F53="","",COUNTA($F$5:F53))</f>
        <v/>
      </c>
      <c r="B53" s="15" t="n"/>
      <c r="C53" s="16" t="n"/>
      <c r="D53" s="16" t="n"/>
      <c r="E53" s="16" t="n"/>
      <c r="F53" s="8" t="n"/>
      <c r="G53" s="16" t="n"/>
      <c r="H53" s="17" t="n"/>
      <c r="I53" s="17" t="n"/>
      <c r="J53" s="18">
        <f>IFERROR(IF(OR(H53="",I53=""),"",H53/I53),"")</f>
        <v/>
      </c>
      <c r="K53" s="14">
        <f>IFERROR(IF(J53="","",IF(J53&gt;=0.9,"A*",IF(J53&gt;=0.8,"A",IF(J53&gt;=0.7,"B",IF(J53&gt;=0.6,"C",IF(J53&gt;=0.5,"D",IF(J53&gt;=0.4,"E",IF(J53&gt;=0.3,"F","U")))))))),"")</f>
        <v/>
      </c>
      <c r="L53" s="17" t="n"/>
      <c r="M53" s="17" t="n"/>
      <c r="N53" s="17" t="n"/>
      <c r="O53" s="8" t="n"/>
    </row>
    <row r="54">
      <c r="A54" s="20">
        <f>IF(F54="","",COUNTA($F$5:F54))</f>
        <v/>
      </c>
      <c r="B54" s="21" t="n"/>
      <c r="C54" s="22" t="n"/>
      <c r="D54" s="22" t="n"/>
      <c r="E54" s="22" t="n"/>
      <c r="F54" s="10" t="n"/>
      <c r="G54" s="22" t="n"/>
      <c r="H54" s="23" t="n"/>
      <c r="I54" s="23" t="n"/>
      <c r="J54" s="24">
        <f>IFERROR(IF(OR(H54="",I54=""),"",H54/I54),"")</f>
        <v/>
      </c>
      <c r="K54" s="20">
        <f>IFERROR(IF(J54="","",IF(J54&gt;=0.9,"A*",IF(J54&gt;=0.8,"A",IF(J54&gt;=0.7,"B",IF(J54&gt;=0.6,"C",IF(J54&gt;=0.5,"D",IF(J54&gt;=0.4,"E",IF(J54&gt;=0.3,"F","U")))))))),"")</f>
        <v/>
      </c>
      <c r="L54" s="23" t="n"/>
      <c r="M54" s="23" t="n"/>
      <c r="N54" s="23" t="n"/>
      <c r="O54" s="10" t="n"/>
    </row>
    <row r="55">
      <c r="A55" s="14">
        <f>IF(F55="","",COUNTA($F$5:F55))</f>
        <v/>
      </c>
      <c r="B55" s="15" t="n"/>
      <c r="C55" s="16" t="n"/>
      <c r="D55" s="16" t="n"/>
      <c r="E55" s="16" t="n"/>
      <c r="F55" s="8" t="n"/>
      <c r="G55" s="16" t="n"/>
      <c r="H55" s="17" t="n"/>
      <c r="I55" s="17" t="n"/>
      <c r="J55" s="18">
        <f>IFERROR(IF(OR(H55="",I55=""),"",H55/I55),"")</f>
        <v/>
      </c>
      <c r="K55" s="14">
        <f>IFERROR(IF(J55="","",IF(J55&gt;=0.9,"A*",IF(J55&gt;=0.8,"A",IF(J55&gt;=0.7,"B",IF(J55&gt;=0.6,"C",IF(J55&gt;=0.5,"D",IF(J55&gt;=0.4,"E",IF(J55&gt;=0.3,"F","U")))))))),"")</f>
        <v/>
      </c>
      <c r="L55" s="17" t="n"/>
      <c r="M55" s="17" t="n"/>
      <c r="N55" s="17" t="n"/>
      <c r="O55" s="8" t="n"/>
    </row>
    <row r="56">
      <c r="A56" s="20">
        <f>IF(F56="","",COUNTA($F$5:F56))</f>
        <v/>
      </c>
      <c r="B56" s="21" t="n"/>
      <c r="C56" s="22" t="n"/>
      <c r="D56" s="22" t="n"/>
      <c r="E56" s="22" t="n"/>
      <c r="F56" s="10" t="n"/>
      <c r="G56" s="22" t="n"/>
      <c r="H56" s="23" t="n"/>
      <c r="I56" s="23" t="n"/>
      <c r="J56" s="24">
        <f>IFERROR(IF(OR(H56="",I56=""),"",H56/I56),"")</f>
        <v/>
      </c>
      <c r="K56" s="20">
        <f>IFERROR(IF(J56="","",IF(J56&gt;=0.9,"A*",IF(J56&gt;=0.8,"A",IF(J56&gt;=0.7,"B",IF(J56&gt;=0.6,"C",IF(J56&gt;=0.5,"D",IF(J56&gt;=0.4,"E",IF(J56&gt;=0.3,"F","U")))))))),"")</f>
        <v/>
      </c>
      <c r="L56" s="23" t="n"/>
      <c r="M56" s="23" t="n"/>
      <c r="N56" s="23" t="n"/>
      <c r="O56" s="10" t="n"/>
    </row>
    <row r="57">
      <c r="A57" s="14">
        <f>IF(F57="","",COUNTA($F$5:F57))</f>
        <v/>
      </c>
      <c r="B57" s="15" t="n"/>
      <c r="C57" s="16" t="n"/>
      <c r="D57" s="16" t="n"/>
      <c r="E57" s="16" t="n"/>
      <c r="F57" s="8" t="n"/>
      <c r="G57" s="16" t="n"/>
      <c r="H57" s="17" t="n"/>
      <c r="I57" s="17" t="n"/>
      <c r="J57" s="18">
        <f>IFERROR(IF(OR(H57="",I57=""),"",H57/I57),"")</f>
        <v/>
      </c>
      <c r="K57" s="14">
        <f>IFERROR(IF(J57="","",IF(J57&gt;=0.9,"A*",IF(J57&gt;=0.8,"A",IF(J57&gt;=0.7,"B",IF(J57&gt;=0.6,"C",IF(J57&gt;=0.5,"D",IF(J57&gt;=0.4,"E",IF(J57&gt;=0.3,"F","U")))))))),"")</f>
        <v/>
      </c>
      <c r="L57" s="17" t="n"/>
      <c r="M57" s="17" t="n"/>
      <c r="N57" s="17" t="n"/>
      <c r="O57" s="8" t="n"/>
    </row>
    <row r="58">
      <c r="A58" s="20">
        <f>IF(F58="","",COUNTA($F$5:F58))</f>
        <v/>
      </c>
      <c r="B58" s="21" t="n"/>
      <c r="C58" s="22" t="n"/>
      <c r="D58" s="22" t="n"/>
      <c r="E58" s="22" t="n"/>
      <c r="F58" s="10" t="n"/>
      <c r="G58" s="22" t="n"/>
      <c r="H58" s="23" t="n"/>
      <c r="I58" s="23" t="n"/>
      <c r="J58" s="24">
        <f>IFERROR(IF(OR(H58="",I58=""),"",H58/I58),"")</f>
        <v/>
      </c>
      <c r="K58" s="20">
        <f>IFERROR(IF(J58="","",IF(J58&gt;=0.9,"A*",IF(J58&gt;=0.8,"A",IF(J58&gt;=0.7,"B",IF(J58&gt;=0.6,"C",IF(J58&gt;=0.5,"D",IF(J58&gt;=0.4,"E",IF(J58&gt;=0.3,"F","U")))))))),"")</f>
        <v/>
      </c>
      <c r="L58" s="23" t="n"/>
      <c r="M58" s="23" t="n"/>
      <c r="N58" s="23" t="n"/>
      <c r="O58" s="10" t="n"/>
    </row>
    <row r="59">
      <c r="A59" s="14">
        <f>IF(F59="","",COUNTA($F$5:F59))</f>
        <v/>
      </c>
      <c r="B59" s="15" t="n"/>
      <c r="C59" s="16" t="n"/>
      <c r="D59" s="16" t="n"/>
      <c r="E59" s="16" t="n"/>
      <c r="F59" s="8" t="n"/>
      <c r="G59" s="16" t="n"/>
      <c r="H59" s="17" t="n"/>
      <c r="I59" s="17" t="n"/>
      <c r="J59" s="18">
        <f>IFERROR(IF(OR(H59="",I59=""),"",H59/I59),"")</f>
        <v/>
      </c>
      <c r="K59" s="14">
        <f>IFERROR(IF(J59="","",IF(J59&gt;=0.9,"A*",IF(J59&gt;=0.8,"A",IF(J59&gt;=0.7,"B",IF(J59&gt;=0.6,"C",IF(J59&gt;=0.5,"D",IF(J59&gt;=0.4,"E",IF(J59&gt;=0.3,"F","U")))))))),"")</f>
        <v/>
      </c>
      <c r="L59" s="17" t="n"/>
      <c r="M59" s="17" t="n"/>
      <c r="N59" s="17" t="n"/>
      <c r="O59" s="8" t="n"/>
    </row>
    <row r="60">
      <c r="A60" s="20">
        <f>IF(F60="","",COUNTA($F$5:F60))</f>
        <v/>
      </c>
      <c r="B60" s="21" t="n"/>
      <c r="C60" s="22" t="n"/>
      <c r="D60" s="22" t="n"/>
      <c r="E60" s="22" t="n"/>
      <c r="F60" s="10" t="n"/>
      <c r="G60" s="22" t="n"/>
      <c r="H60" s="23" t="n"/>
      <c r="I60" s="23" t="n"/>
      <c r="J60" s="24">
        <f>IFERROR(IF(OR(H60="",I60=""),"",H60/I60),"")</f>
        <v/>
      </c>
      <c r="K60" s="20">
        <f>IFERROR(IF(J60="","",IF(J60&gt;=0.9,"A*",IF(J60&gt;=0.8,"A",IF(J60&gt;=0.7,"B",IF(J60&gt;=0.6,"C",IF(J60&gt;=0.5,"D",IF(J60&gt;=0.4,"E",IF(J60&gt;=0.3,"F","U")))))))),"")</f>
        <v/>
      </c>
      <c r="L60" s="23" t="n"/>
      <c r="M60" s="23" t="n"/>
      <c r="N60" s="23" t="n"/>
      <c r="O60" s="10" t="n"/>
    </row>
    <row r="61">
      <c r="A61" s="14">
        <f>IF(F61="","",COUNTA($F$5:F61))</f>
        <v/>
      </c>
      <c r="B61" s="15" t="n"/>
      <c r="C61" s="16" t="n"/>
      <c r="D61" s="16" t="n"/>
      <c r="E61" s="16" t="n"/>
      <c r="F61" s="8" t="n"/>
      <c r="G61" s="16" t="n"/>
      <c r="H61" s="17" t="n"/>
      <c r="I61" s="17" t="n"/>
      <c r="J61" s="18">
        <f>IFERROR(IF(OR(H61="",I61=""),"",H61/I61),"")</f>
        <v/>
      </c>
      <c r="K61" s="14">
        <f>IFERROR(IF(J61="","",IF(J61&gt;=0.9,"A*",IF(J61&gt;=0.8,"A",IF(J61&gt;=0.7,"B",IF(J61&gt;=0.6,"C",IF(J61&gt;=0.5,"D",IF(J61&gt;=0.4,"E",IF(J61&gt;=0.3,"F","U")))))))),"")</f>
        <v/>
      </c>
      <c r="L61" s="17" t="n"/>
      <c r="M61" s="17" t="n"/>
      <c r="N61" s="17" t="n"/>
      <c r="O61" s="8" t="n"/>
    </row>
    <row r="62">
      <c r="A62" s="20">
        <f>IF(F62="","",COUNTA($F$5:F62))</f>
        <v/>
      </c>
      <c r="B62" s="21" t="n"/>
      <c r="C62" s="22" t="n"/>
      <c r="D62" s="22" t="n"/>
      <c r="E62" s="22" t="n"/>
      <c r="F62" s="10" t="n"/>
      <c r="G62" s="22" t="n"/>
      <c r="H62" s="23" t="n"/>
      <c r="I62" s="23" t="n"/>
      <c r="J62" s="24">
        <f>IFERROR(IF(OR(H62="",I62=""),"",H62/I62),"")</f>
        <v/>
      </c>
      <c r="K62" s="20">
        <f>IFERROR(IF(J62="","",IF(J62&gt;=0.9,"A*",IF(J62&gt;=0.8,"A",IF(J62&gt;=0.7,"B",IF(J62&gt;=0.6,"C",IF(J62&gt;=0.5,"D",IF(J62&gt;=0.4,"E",IF(J62&gt;=0.3,"F","U")))))))),"")</f>
        <v/>
      </c>
      <c r="L62" s="23" t="n"/>
      <c r="M62" s="23" t="n"/>
      <c r="N62" s="23" t="n"/>
      <c r="O62" s="10" t="n"/>
    </row>
    <row r="63">
      <c r="A63" s="14">
        <f>IF(F63="","",COUNTA($F$5:F63))</f>
        <v/>
      </c>
      <c r="B63" s="15" t="n"/>
      <c r="C63" s="16" t="n"/>
      <c r="D63" s="16" t="n"/>
      <c r="E63" s="16" t="n"/>
      <c r="F63" s="8" t="n"/>
      <c r="G63" s="16" t="n"/>
      <c r="H63" s="17" t="n"/>
      <c r="I63" s="17" t="n"/>
      <c r="J63" s="18">
        <f>IFERROR(IF(OR(H63="",I63=""),"",H63/I63),"")</f>
        <v/>
      </c>
      <c r="K63" s="14">
        <f>IFERROR(IF(J63="","",IF(J63&gt;=0.9,"A*",IF(J63&gt;=0.8,"A",IF(J63&gt;=0.7,"B",IF(J63&gt;=0.6,"C",IF(J63&gt;=0.5,"D",IF(J63&gt;=0.4,"E",IF(J63&gt;=0.3,"F","U")))))))),"")</f>
        <v/>
      </c>
      <c r="L63" s="17" t="n"/>
      <c r="M63" s="17" t="n"/>
      <c r="N63" s="17" t="n"/>
      <c r="O63" s="8" t="n"/>
    </row>
    <row r="64">
      <c r="A64" s="20">
        <f>IF(F64="","",COUNTA($F$5:F64))</f>
        <v/>
      </c>
      <c r="B64" s="21" t="n"/>
      <c r="C64" s="22" t="n"/>
      <c r="D64" s="22" t="n"/>
      <c r="E64" s="22" t="n"/>
      <c r="F64" s="10" t="n"/>
      <c r="G64" s="22" t="n"/>
      <c r="H64" s="23" t="n"/>
      <c r="I64" s="23" t="n"/>
      <c r="J64" s="24">
        <f>IFERROR(IF(OR(H64="",I64=""),"",H64/I64),"")</f>
        <v/>
      </c>
      <c r="K64" s="20">
        <f>IFERROR(IF(J64="","",IF(J64&gt;=0.9,"A*",IF(J64&gt;=0.8,"A",IF(J64&gt;=0.7,"B",IF(J64&gt;=0.6,"C",IF(J64&gt;=0.5,"D",IF(J64&gt;=0.4,"E",IF(J64&gt;=0.3,"F","U")))))))),"")</f>
        <v/>
      </c>
      <c r="L64" s="23" t="n"/>
      <c r="M64" s="23" t="n"/>
      <c r="N64" s="23" t="n"/>
      <c r="O64" s="10" t="n"/>
    </row>
    <row r="65">
      <c r="A65" s="14">
        <f>IF(F65="","",COUNTA($F$5:F65))</f>
        <v/>
      </c>
      <c r="B65" s="15" t="n"/>
      <c r="C65" s="16" t="n"/>
      <c r="D65" s="16" t="n"/>
      <c r="E65" s="16" t="n"/>
      <c r="F65" s="8" t="n"/>
      <c r="G65" s="16" t="n"/>
      <c r="H65" s="17" t="n"/>
      <c r="I65" s="17" t="n"/>
      <c r="J65" s="18">
        <f>IFERROR(IF(OR(H65="",I65=""),"",H65/I65),"")</f>
        <v/>
      </c>
      <c r="K65" s="14">
        <f>IFERROR(IF(J65="","",IF(J65&gt;=0.9,"A*",IF(J65&gt;=0.8,"A",IF(J65&gt;=0.7,"B",IF(J65&gt;=0.6,"C",IF(J65&gt;=0.5,"D",IF(J65&gt;=0.4,"E",IF(J65&gt;=0.3,"F","U")))))))),"")</f>
        <v/>
      </c>
      <c r="L65" s="17" t="n"/>
      <c r="M65" s="17" t="n"/>
      <c r="N65" s="17" t="n"/>
      <c r="O65" s="8" t="n"/>
    </row>
    <row r="66">
      <c r="A66" s="20">
        <f>IF(F66="","",COUNTA($F$5:F66))</f>
        <v/>
      </c>
      <c r="B66" s="21" t="n"/>
      <c r="C66" s="22" t="n"/>
      <c r="D66" s="22" t="n"/>
      <c r="E66" s="22" t="n"/>
      <c r="F66" s="10" t="n"/>
      <c r="G66" s="22" t="n"/>
      <c r="H66" s="23" t="n"/>
      <c r="I66" s="23" t="n"/>
      <c r="J66" s="24">
        <f>IFERROR(IF(OR(H66="",I66=""),"",H66/I66),"")</f>
        <v/>
      </c>
      <c r="K66" s="20">
        <f>IFERROR(IF(J66="","",IF(J66&gt;=0.9,"A*",IF(J66&gt;=0.8,"A",IF(J66&gt;=0.7,"B",IF(J66&gt;=0.6,"C",IF(J66&gt;=0.5,"D",IF(J66&gt;=0.4,"E",IF(J66&gt;=0.3,"F","U")))))))),"")</f>
        <v/>
      </c>
      <c r="L66" s="23" t="n"/>
      <c r="M66" s="23" t="n"/>
      <c r="N66" s="23" t="n"/>
      <c r="O66" s="10" t="n"/>
    </row>
    <row r="67">
      <c r="A67" s="14">
        <f>IF(F67="","",COUNTA($F$5:F67))</f>
        <v/>
      </c>
      <c r="B67" s="15" t="n"/>
      <c r="C67" s="16" t="n"/>
      <c r="D67" s="16" t="n"/>
      <c r="E67" s="16" t="n"/>
      <c r="F67" s="8" t="n"/>
      <c r="G67" s="16" t="n"/>
      <c r="H67" s="17" t="n"/>
      <c r="I67" s="17" t="n"/>
      <c r="J67" s="18">
        <f>IFERROR(IF(OR(H67="",I67=""),"",H67/I67),"")</f>
        <v/>
      </c>
      <c r="K67" s="14">
        <f>IFERROR(IF(J67="","",IF(J67&gt;=0.9,"A*",IF(J67&gt;=0.8,"A",IF(J67&gt;=0.7,"B",IF(J67&gt;=0.6,"C",IF(J67&gt;=0.5,"D",IF(J67&gt;=0.4,"E",IF(J67&gt;=0.3,"F","U")))))))),"")</f>
        <v/>
      </c>
      <c r="L67" s="17" t="n"/>
      <c r="M67" s="17" t="n"/>
      <c r="N67" s="17" t="n"/>
      <c r="O67" s="8" t="n"/>
    </row>
    <row r="68">
      <c r="A68" s="20">
        <f>IF(F68="","",COUNTA($F$5:F68))</f>
        <v/>
      </c>
      <c r="B68" s="21" t="n"/>
      <c r="C68" s="22" t="n"/>
      <c r="D68" s="22" t="n"/>
      <c r="E68" s="22" t="n"/>
      <c r="F68" s="10" t="n"/>
      <c r="G68" s="22" t="n"/>
      <c r="H68" s="23" t="n"/>
      <c r="I68" s="23" t="n"/>
      <c r="J68" s="24">
        <f>IFERROR(IF(OR(H68="",I68=""),"",H68/I68),"")</f>
        <v/>
      </c>
      <c r="K68" s="20">
        <f>IFERROR(IF(J68="","",IF(J68&gt;=0.9,"A*",IF(J68&gt;=0.8,"A",IF(J68&gt;=0.7,"B",IF(J68&gt;=0.6,"C",IF(J68&gt;=0.5,"D",IF(J68&gt;=0.4,"E",IF(J68&gt;=0.3,"F","U")))))))),"")</f>
        <v/>
      </c>
      <c r="L68" s="23" t="n"/>
      <c r="M68" s="23" t="n"/>
      <c r="N68" s="23" t="n"/>
      <c r="O68" s="10" t="n"/>
    </row>
    <row r="69">
      <c r="A69" s="14">
        <f>IF(F69="","",COUNTA($F$5:F69))</f>
        <v/>
      </c>
      <c r="B69" s="15" t="n"/>
      <c r="C69" s="16" t="n"/>
      <c r="D69" s="16" t="n"/>
      <c r="E69" s="16" t="n"/>
      <c r="F69" s="8" t="n"/>
      <c r="G69" s="16" t="n"/>
      <c r="H69" s="17" t="n"/>
      <c r="I69" s="17" t="n"/>
      <c r="J69" s="18">
        <f>IFERROR(IF(OR(H69="",I69=""),"",H69/I69),"")</f>
        <v/>
      </c>
      <c r="K69" s="14">
        <f>IFERROR(IF(J69="","",IF(J69&gt;=0.9,"A*",IF(J69&gt;=0.8,"A",IF(J69&gt;=0.7,"B",IF(J69&gt;=0.6,"C",IF(J69&gt;=0.5,"D",IF(J69&gt;=0.4,"E",IF(J69&gt;=0.3,"F","U")))))))),"")</f>
        <v/>
      </c>
      <c r="L69" s="17" t="n"/>
      <c r="M69" s="17" t="n"/>
      <c r="N69" s="17" t="n"/>
      <c r="O69" s="8" t="n"/>
    </row>
    <row r="70">
      <c r="A70" s="20">
        <f>IF(F70="","",COUNTA($F$5:F70))</f>
        <v/>
      </c>
      <c r="B70" s="21" t="n"/>
      <c r="C70" s="22" t="n"/>
      <c r="D70" s="22" t="n"/>
      <c r="E70" s="22" t="n"/>
      <c r="F70" s="10" t="n"/>
      <c r="G70" s="22" t="n"/>
      <c r="H70" s="23" t="n"/>
      <c r="I70" s="23" t="n"/>
      <c r="J70" s="24">
        <f>IFERROR(IF(OR(H70="",I70=""),"",H70/I70),"")</f>
        <v/>
      </c>
      <c r="K70" s="20">
        <f>IFERROR(IF(J70="","",IF(J70&gt;=0.9,"A*",IF(J70&gt;=0.8,"A",IF(J70&gt;=0.7,"B",IF(J70&gt;=0.6,"C",IF(J70&gt;=0.5,"D",IF(J70&gt;=0.4,"E",IF(J70&gt;=0.3,"F","U")))))))),"")</f>
        <v/>
      </c>
      <c r="L70" s="23" t="n"/>
      <c r="M70" s="23" t="n"/>
      <c r="N70" s="23" t="n"/>
      <c r="O70" s="10" t="n"/>
    </row>
    <row r="71">
      <c r="A71" s="14">
        <f>IF(F71="","",COUNTA($F$5:F71))</f>
        <v/>
      </c>
      <c r="B71" s="15" t="n"/>
      <c r="C71" s="16" t="n"/>
      <c r="D71" s="16" t="n"/>
      <c r="E71" s="16" t="n"/>
      <c r="F71" s="8" t="n"/>
      <c r="G71" s="16" t="n"/>
      <c r="H71" s="17" t="n"/>
      <c r="I71" s="17" t="n"/>
      <c r="J71" s="18">
        <f>IFERROR(IF(OR(H71="",I71=""),"",H71/I71),"")</f>
        <v/>
      </c>
      <c r="K71" s="14">
        <f>IFERROR(IF(J71="","",IF(J71&gt;=0.9,"A*",IF(J71&gt;=0.8,"A",IF(J71&gt;=0.7,"B",IF(J71&gt;=0.6,"C",IF(J71&gt;=0.5,"D",IF(J71&gt;=0.4,"E",IF(J71&gt;=0.3,"F","U")))))))),"")</f>
        <v/>
      </c>
      <c r="L71" s="17" t="n"/>
      <c r="M71" s="17" t="n"/>
      <c r="N71" s="17" t="n"/>
      <c r="O71" s="8" t="n"/>
    </row>
    <row r="72">
      <c r="A72" s="20">
        <f>IF(F72="","",COUNTA($F$5:F72))</f>
        <v/>
      </c>
      <c r="B72" s="21" t="n"/>
      <c r="C72" s="22" t="n"/>
      <c r="D72" s="22" t="n"/>
      <c r="E72" s="22" t="n"/>
      <c r="F72" s="10" t="n"/>
      <c r="G72" s="22" t="n"/>
      <c r="H72" s="23" t="n"/>
      <c r="I72" s="23" t="n"/>
      <c r="J72" s="24">
        <f>IFERROR(IF(OR(H72="",I72=""),"",H72/I72),"")</f>
        <v/>
      </c>
      <c r="K72" s="20">
        <f>IFERROR(IF(J72="","",IF(J72&gt;=0.9,"A*",IF(J72&gt;=0.8,"A",IF(J72&gt;=0.7,"B",IF(J72&gt;=0.6,"C",IF(J72&gt;=0.5,"D",IF(J72&gt;=0.4,"E",IF(J72&gt;=0.3,"F","U")))))))),"")</f>
        <v/>
      </c>
      <c r="L72" s="23" t="n"/>
      <c r="M72" s="23" t="n"/>
      <c r="N72" s="23" t="n"/>
      <c r="O72" s="10" t="n"/>
    </row>
    <row r="73">
      <c r="A73" s="14">
        <f>IF(F73="","",COUNTA($F$5:F73))</f>
        <v/>
      </c>
      <c r="B73" s="15" t="n"/>
      <c r="C73" s="16" t="n"/>
      <c r="D73" s="16" t="n"/>
      <c r="E73" s="16" t="n"/>
      <c r="F73" s="8" t="n"/>
      <c r="G73" s="16" t="n"/>
      <c r="H73" s="17" t="n"/>
      <c r="I73" s="17" t="n"/>
      <c r="J73" s="18">
        <f>IFERROR(IF(OR(H73="",I73=""),"",H73/I73),"")</f>
        <v/>
      </c>
      <c r="K73" s="14">
        <f>IFERROR(IF(J73="","",IF(J73&gt;=0.9,"A*",IF(J73&gt;=0.8,"A",IF(J73&gt;=0.7,"B",IF(J73&gt;=0.6,"C",IF(J73&gt;=0.5,"D",IF(J73&gt;=0.4,"E",IF(J73&gt;=0.3,"F","U")))))))),"")</f>
        <v/>
      </c>
      <c r="L73" s="17" t="n"/>
      <c r="M73" s="17" t="n"/>
      <c r="N73" s="17" t="n"/>
      <c r="O73" s="8" t="n"/>
    </row>
    <row r="74">
      <c r="A74" s="20">
        <f>IF(F74="","",COUNTA($F$5:F74))</f>
        <v/>
      </c>
      <c r="B74" s="21" t="n"/>
      <c r="C74" s="22" t="n"/>
      <c r="D74" s="22" t="n"/>
      <c r="E74" s="22" t="n"/>
      <c r="F74" s="10" t="n"/>
      <c r="G74" s="22" t="n"/>
      <c r="H74" s="23" t="n"/>
      <c r="I74" s="23" t="n"/>
      <c r="J74" s="24">
        <f>IFERROR(IF(OR(H74="",I74=""),"",H74/I74),"")</f>
        <v/>
      </c>
      <c r="K74" s="20">
        <f>IFERROR(IF(J74="","",IF(J74&gt;=0.9,"A*",IF(J74&gt;=0.8,"A",IF(J74&gt;=0.7,"B",IF(J74&gt;=0.6,"C",IF(J74&gt;=0.5,"D",IF(J74&gt;=0.4,"E",IF(J74&gt;=0.3,"F","U")))))))),"")</f>
        <v/>
      </c>
      <c r="L74" s="23" t="n"/>
      <c r="M74" s="23" t="n"/>
      <c r="N74" s="23" t="n"/>
      <c r="O74" s="10" t="n"/>
    </row>
    <row r="75">
      <c r="A75" s="14">
        <f>IF(F75="","",COUNTA($F$5:F75))</f>
        <v/>
      </c>
      <c r="B75" s="15" t="n"/>
      <c r="C75" s="16" t="n"/>
      <c r="D75" s="16" t="n"/>
      <c r="E75" s="16" t="n"/>
      <c r="F75" s="8" t="n"/>
      <c r="G75" s="16" t="n"/>
      <c r="H75" s="17" t="n"/>
      <c r="I75" s="17" t="n"/>
      <c r="J75" s="18">
        <f>IFERROR(IF(OR(H75="",I75=""),"",H75/I75),"")</f>
        <v/>
      </c>
      <c r="K75" s="14">
        <f>IFERROR(IF(J75="","",IF(J75&gt;=0.9,"A*",IF(J75&gt;=0.8,"A",IF(J75&gt;=0.7,"B",IF(J75&gt;=0.6,"C",IF(J75&gt;=0.5,"D",IF(J75&gt;=0.4,"E",IF(J75&gt;=0.3,"F","U")))))))),"")</f>
        <v/>
      </c>
      <c r="L75" s="17" t="n"/>
      <c r="M75" s="17" t="n"/>
      <c r="N75" s="17" t="n"/>
      <c r="O75" s="8" t="n"/>
    </row>
    <row r="76">
      <c r="A76" s="20">
        <f>IF(F76="","",COUNTA($F$5:F76))</f>
        <v/>
      </c>
      <c r="B76" s="21" t="n"/>
      <c r="C76" s="22" t="n"/>
      <c r="D76" s="22" t="n"/>
      <c r="E76" s="22" t="n"/>
      <c r="F76" s="10" t="n"/>
      <c r="G76" s="22" t="n"/>
      <c r="H76" s="23" t="n"/>
      <c r="I76" s="23" t="n"/>
      <c r="J76" s="24">
        <f>IFERROR(IF(OR(H76="",I76=""),"",H76/I76),"")</f>
        <v/>
      </c>
      <c r="K76" s="20">
        <f>IFERROR(IF(J76="","",IF(J76&gt;=0.9,"A*",IF(J76&gt;=0.8,"A",IF(J76&gt;=0.7,"B",IF(J76&gt;=0.6,"C",IF(J76&gt;=0.5,"D",IF(J76&gt;=0.4,"E",IF(J76&gt;=0.3,"F","U")))))))),"")</f>
        <v/>
      </c>
      <c r="L76" s="23" t="n"/>
      <c r="M76" s="23" t="n"/>
      <c r="N76" s="23" t="n"/>
      <c r="O76" s="10" t="n"/>
    </row>
    <row r="77">
      <c r="A77" s="14">
        <f>IF(F77="","",COUNTA($F$5:F77))</f>
        <v/>
      </c>
      <c r="B77" s="15" t="n"/>
      <c r="C77" s="16" t="n"/>
      <c r="D77" s="16" t="n"/>
      <c r="E77" s="16" t="n"/>
      <c r="F77" s="8" t="n"/>
      <c r="G77" s="16" t="n"/>
      <c r="H77" s="17" t="n"/>
      <c r="I77" s="17" t="n"/>
      <c r="J77" s="18">
        <f>IFERROR(IF(OR(H77="",I77=""),"",H77/I77),"")</f>
        <v/>
      </c>
      <c r="K77" s="14">
        <f>IFERROR(IF(J77="","",IF(J77&gt;=0.9,"A*",IF(J77&gt;=0.8,"A",IF(J77&gt;=0.7,"B",IF(J77&gt;=0.6,"C",IF(J77&gt;=0.5,"D",IF(J77&gt;=0.4,"E",IF(J77&gt;=0.3,"F","U")))))))),"")</f>
        <v/>
      </c>
      <c r="L77" s="17" t="n"/>
      <c r="M77" s="17" t="n"/>
      <c r="N77" s="17" t="n"/>
      <c r="O77" s="8" t="n"/>
    </row>
    <row r="78">
      <c r="A78" s="20">
        <f>IF(F78="","",COUNTA($F$5:F78))</f>
        <v/>
      </c>
      <c r="B78" s="21" t="n"/>
      <c r="C78" s="22" t="n"/>
      <c r="D78" s="22" t="n"/>
      <c r="E78" s="22" t="n"/>
      <c r="F78" s="10" t="n"/>
      <c r="G78" s="22" t="n"/>
      <c r="H78" s="23" t="n"/>
      <c r="I78" s="23" t="n"/>
      <c r="J78" s="24">
        <f>IFERROR(IF(OR(H78="",I78=""),"",H78/I78),"")</f>
        <v/>
      </c>
      <c r="K78" s="20">
        <f>IFERROR(IF(J78="","",IF(J78&gt;=0.9,"A*",IF(J78&gt;=0.8,"A",IF(J78&gt;=0.7,"B",IF(J78&gt;=0.6,"C",IF(J78&gt;=0.5,"D",IF(J78&gt;=0.4,"E",IF(J78&gt;=0.3,"F","U")))))))),"")</f>
        <v/>
      </c>
      <c r="L78" s="23" t="n"/>
      <c r="M78" s="23" t="n"/>
      <c r="N78" s="23" t="n"/>
      <c r="O78" s="10" t="n"/>
    </row>
    <row r="79">
      <c r="A79" s="14">
        <f>IF(F79="","",COUNTA($F$5:F79))</f>
        <v/>
      </c>
      <c r="B79" s="15" t="n"/>
      <c r="C79" s="16" t="n"/>
      <c r="D79" s="16" t="n"/>
      <c r="E79" s="16" t="n"/>
      <c r="F79" s="8" t="n"/>
      <c r="G79" s="16" t="n"/>
      <c r="H79" s="17" t="n"/>
      <c r="I79" s="17" t="n"/>
      <c r="J79" s="18">
        <f>IFERROR(IF(OR(H79="",I79=""),"",H79/I79),"")</f>
        <v/>
      </c>
      <c r="K79" s="14">
        <f>IFERROR(IF(J79="","",IF(J79&gt;=0.9,"A*",IF(J79&gt;=0.8,"A",IF(J79&gt;=0.7,"B",IF(J79&gt;=0.6,"C",IF(J79&gt;=0.5,"D",IF(J79&gt;=0.4,"E",IF(J79&gt;=0.3,"F","U")))))))),"")</f>
        <v/>
      </c>
      <c r="L79" s="17" t="n"/>
      <c r="M79" s="17" t="n"/>
      <c r="N79" s="17" t="n"/>
      <c r="O79" s="8" t="n"/>
    </row>
    <row r="80">
      <c r="A80" s="20">
        <f>IF(F80="","",COUNTA($F$5:F80))</f>
        <v/>
      </c>
      <c r="B80" s="21" t="n"/>
      <c r="C80" s="22" t="n"/>
      <c r="D80" s="22" t="n"/>
      <c r="E80" s="22" t="n"/>
      <c r="F80" s="10" t="n"/>
      <c r="G80" s="22" t="n"/>
      <c r="H80" s="23" t="n"/>
      <c r="I80" s="23" t="n"/>
      <c r="J80" s="24">
        <f>IFERROR(IF(OR(H80="",I80=""),"",H80/I80),"")</f>
        <v/>
      </c>
      <c r="K80" s="20">
        <f>IFERROR(IF(J80="","",IF(J80&gt;=0.9,"A*",IF(J80&gt;=0.8,"A",IF(J80&gt;=0.7,"B",IF(J80&gt;=0.6,"C",IF(J80&gt;=0.5,"D",IF(J80&gt;=0.4,"E",IF(J80&gt;=0.3,"F","U")))))))),"")</f>
        <v/>
      </c>
      <c r="L80" s="23" t="n"/>
      <c r="M80" s="23" t="n"/>
      <c r="N80" s="23" t="n"/>
      <c r="O80" s="10" t="n"/>
    </row>
    <row r="81">
      <c r="A81" s="14">
        <f>IF(F81="","",COUNTA($F$5:F81))</f>
        <v/>
      </c>
      <c r="B81" s="15" t="n"/>
      <c r="C81" s="16" t="n"/>
      <c r="D81" s="16" t="n"/>
      <c r="E81" s="16" t="n"/>
      <c r="F81" s="8" t="n"/>
      <c r="G81" s="16" t="n"/>
      <c r="H81" s="17" t="n"/>
      <c r="I81" s="17" t="n"/>
      <c r="J81" s="18">
        <f>IFERROR(IF(OR(H81="",I81=""),"",H81/I81),"")</f>
        <v/>
      </c>
      <c r="K81" s="14">
        <f>IFERROR(IF(J81="","",IF(J81&gt;=0.9,"A*",IF(J81&gt;=0.8,"A",IF(J81&gt;=0.7,"B",IF(J81&gt;=0.6,"C",IF(J81&gt;=0.5,"D",IF(J81&gt;=0.4,"E",IF(J81&gt;=0.3,"F","U")))))))),"")</f>
        <v/>
      </c>
      <c r="L81" s="17" t="n"/>
      <c r="M81" s="17" t="n"/>
      <c r="N81" s="17" t="n"/>
      <c r="O81" s="8" t="n"/>
    </row>
    <row r="82">
      <c r="A82" s="20">
        <f>IF(F82="","",COUNTA($F$5:F82))</f>
        <v/>
      </c>
      <c r="B82" s="21" t="n"/>
      <c r="C82" s="22" t="n"/>
      <c r="D82" s="22" t="n"/>
      <c r="E82" s="22" t="n"/>
      <c r="F82" s="10" t="n"/>
      <c r="G82" s="22" t="n"/>
      <c r="H82" s="23" t="n"/>
      <c r="I82" s="23" t="n"/>
      <c r="J82" s="24">
        <f>IFERROR(IF(OR(H82="",I82=""),"",H82/I82),"")</f>
        <v/>
      </c>
      <c r="K82" s="20">
        <f>IFERROR(IF(J82="","",IF(J82&gt;=0.9,"A*",IF(J82&gt;=0.8,"A",IF(J82&gt;=0.7,"B",IF(J82&gt;=0.6,"C",IF(J82&gt;=0.5,"D",IF(J82&gt;=0.4,"E",IF(J82&gt;=0.3,"F","U")))))))),"")</f>
        <v/>
      </c>
      <c r="L82" s="23" t="n"/>
      <c r="M82" s="23" t="n"/>
      <c r="N82" s="23" t="n"/>
      <c r="O82" s="10" t="n"/>
    </row>
    <row r="83">
      <c r="A83" s="14">
        <f>IF(F83="","",COUNTA($F$5:F83))</f>
        <v/>
      </c>
      <c r="B83" s="15" t="n"/>
      <c r="C83" s="16" t="n"/>
      <c r="D83" s="16" t="n"/>
      <c r="E83" s="16" t="n"/>
      <c r="F83" s="8" t="n"/>
      <c r="G83" s="16" t="n"/>
      <c r="H83" s="17" t="n"/>
      <c r="I83" s="17" t="n"/>
      <c r="J83" s="18">
        <f>IFERROR(IF(OR(H83="",I83=""),"",H83/I83),"")</f>
        <v/>
      </c>
      <c r="K83" s="14">
        <f>IFERROR(IF(J83="","",IF(J83&gt;=0.9,"A*",IF(J83&gt;=0.8,"A",IF(J83&gt;=0.7,"B",IF(J83&gt;=0.6,"C",IF(J83&gt;=0.5,"D",IF(J83&gt;=0.4,"E",IF(J83&gt;=0.3,"F","U")))))))),"")</f>
        <v/>
      </c>
      <c r="L83" s="17" t="n"/>
      <c r="M83" s="17" t="n"/>
      <c r="N83" s="17" t="n"/>
      <c r="O83" s="8" t="n"/>
    </row>
    <row r="84">
      <c r="A84" s="20">
        <f>IF(F84="","",COUNTA($F$5:F84))</f>
        <v/>
      </c>
      <c r="B84" s="21" t="n"/>
      <c r="C84" s="22" t="n"/>
      <c r="D84" s="22" t="n"/>
      <c r="E84" s="22" t="n"/>
      <c r="F84" s="10" t="n"/>
      <c r="G84" s="22" t="n"/>
      <c r="H84" s="23" t="n"/>
      <c r="I84" s="23" t="n"/>
      <c r="J84" s="24">
        <f>IFERROR(IF(OR(H84="",I84=""),"",H84/I84),"")</f>
        <v/>
      </c>
      <c r="K84" s="20">
        <f>IFERROR(IF(J84="","",IF(J84&gt;=0.9,"A*",IF(J84&gt;=0.8,"A",IF(J84&gt;=0.7,"B",IF(J84&gt;=0.6,"C",IF(J84&gt;=0.5,"D",IF(J84&gt;=0.4,"E",IF(J84&gt;=0.3,"F","U")))))))),"")</f>
        <v/>
      </c>
      <c r="L84" s="23" t="n"/>
      <c r="M84" s="23" t="n"/>
      <c r="N84" s="23" t="n"/>
      <c r="O84" s="10" t="n"/>
    </row>
    <row r="85">
      <c r="A85" s="14">
        <f>IF(F85="","",COUNTA($F$5:F85))</f>
        <v/>
      </c>
      <c r="B85" s="15" t="n"/>
      <c r="C85" s="16" t="n"/>
      <c r="D85" s="16" t="n"/>
      <c r="E85" s="16" t="n"/>
      <c r="F85" s="8" t="n"/>
      <c r="G85" s="16" t="n"/>
      <c r="H85" s="17" t="n"/>
      <c r="I85" s="17" t="n"/>
      <c r="J85" s="18">
        <f>IFERROR(IF(OR(H85="",I85=""),"",H85/I85),"")</f>
        <v/>
      </c>
      <c r="K85" s="14">
        <f>IFERROR(IF(J85="","",IF(J85&gt;=0.9,"A*",IF(J85&gt;=0.8,"A",IF(J85&gt;=0.7,"B",IF(J85&gt;=0.6,"C",IF(J85&gt;=0.5,"D",IF(J85&gt;=0.4,"E",IF(J85&gt;=0.3,"F","U")))))))),"")</f>
        <v/>
      </c>
      <c r="L85" s="17" t="n"/>
      <c r="M85" s="17" t="n"/>
      <c r="N85" s="17" t="n"/>
      <c r="O85" s="8" t="n"/>
    </row>
    <row r="86">
      <c r="A86" s="20">
        <f>IF(F86="","",COUNTA($F$5:F86))</f>
        <v/>
      </c>
      <c r="B86" s="21" t="n"/>
      <c r="C86" s="22" t="n"/>
      <c r="D86" s="22" t="n"/>
      <c r="E86" s="22" t="n"/>
      <c r="F86" s="10" t="n"/>
      <c r="G86" s="22" t="n"/>
      <c r="H86" s="23" t="n"/>
      <c r="I86" s="23" t="n"/>
      <c r="J86" s="24">
        <f>IFERROR(IF(OR(H86="",I86=""),"",H86/I86),"")</f>
        <v/>
      </c>
      <c r="K86" s="20">
        <f>IFERROR(IF(J86="","",IF(J86&gt;=0.9,"A*",IF(J86&gt;=0.8,"A",IF(J86&gt;=0.7,"B",IF(J86&gt;=0.6,"C",IF(J86&gt;=0.5,"D",IF(J86&gt;=0.4,"E",IF(J86&gt;=0.3,"F","U")))))))),"")</f>
        <v/>
      </c>
      <c r="L86" s="23" t="n"/>
      <c r="M86" s="23" t="n"/>
      <c r="N86" s="23" t="n"/>
      <c r="O86" s="10" t="n"/>
    </row>
    <row r="87">
      <c r="A87" s="14">
        <f>IF(F87="","",COUNTA($F$5:F87))</f>
        <v/>
      </c>
      <c r="B87" s="15" t="n"/>
      <c r="C87" s="16" t="n"/>
      <c r="D87" s="16" t="n"/>
      <c r="E87" s="16" t="n"/>
      <c r="F87" s="8" t="n"/>
      <c r="G87" s="16" t="n"/>
      <c r="H87" s="17" t="n"/>
      <c r="I87" s="17" t="n"/>
      <c r="J87" s="18">
        <f>IFERROR(IF(OR(H87="",I87=""),"",H87/I87),"")</f>
        <v/>
      </c>
      <c r="K87" s="14">
        <f>IFERROR(IF(J87="","",IF(J87&gt;=0.9,"A*",IF(J87&gt;=0.8,"A",IF(J87&gt;=0.7,"B",IF(J87&gt;=0.6,"C",IF(J87&gt;=0.5,"D",IF(J87&gt;=0.4,"E",IF(J87&gt;=0.3,"F","U")))))))),"")</f>
        <v/>
      </c>
      <c r="L87" s="17" t="n"/>
      <c r="M87" s="17" t="n"/>
      <c r="N87" s="17" t="n"/>
      <c r="O87" s="8" t="n"/>
    </row>
    <row r="88">
      <c r="A88" s="20">
        <f>IF(F88="","",COUNTA($F$5:F88))</f>
        <v/>
      </c>
      <c r="B88" s="21" t="n"/>
      <c r="C88" s="22" t="n"/>
      <c r="D88" s="22" t="n"/>
      <c r="E88" s="22" t="n"/>
      <c r="F88" s="10" t="n"/>
      <c r="G88" s="22" t="n"/>
      <c r="H88" s="23" t="n"/>
      <c r="I88" s="23" t="n"/>
      <c r="J88" s="24">
        <f>IFERROR(IF(OR(H88="",I88=""),"",H88/I88),"")</f>
        <v/>
      </c>
      <c r="K88" s="20">
        <f>IFERROR(IF(J88="","",IF(J88&gt;=0.9,"A*",IF(J88&gt;=0.8,"A",IF(J88&gt;=0.7,"B",IF(J88&gt;=0.6,"C",IF(J88&gt;=0.5,"D",IF(J88&gt;=0.4,"E",IF(J88&gt;=0.3,"F","U")))))))),"")</f>
        <v/>
      </c>
      <c r="L88" s="23" t="n"/>
      <c r="M88" s="23" t="n"/>
      <c r="N88" s="23" t="n"/>
      <c r="O88" s="10" t="n"/>
    </row>
    <row r="89">
      <c r="A89" s="14">
        <f>IF(F89="","",COUNTA($F$5:F89))</f>
        <v/>
      </c>
      <c r="B89" s="15" t="n"/>
      <c r="C89" s="16" t="n"/>
      <c r="D89" s="16" t="n"/>
      <c r="E89" s="16" t="n"/>
      <c r="F89" s="8" t="n"/>
      <c r="G89" s="16" t="n"/>
      <c r="H89" s="17" t="n"/>
      <c r="I89" s="17" t="n"/>
      <c r="J89" s="18">
        <f>IFERROR(IF(OR(H89="",I89=""),"",H89/I89),"")</f>
        <v/>
      </c>
      <c r="K89" s="14">
        <f>IFERROR(IF(J89="","",IF(J89&gt;=0.9,"A*",IF(J89&gt;=0.8,"A",IF(J89&gt;=0.7,"B",IF(J89&gt;=0.6,"C",IF(J89&gt;=0.5,"D",IF(J89&gt;=0.4,"E",IF(J89&gt;=0.3,"F","U")))))))),"")</f>
        <v/>
      </c>
      <c r="L89" s="17" t="n"/>
      <c r="M89" s="17" t="n"/>
      <c r="N89" s="17" t="n"/>
      <c r="O89" s="8" t="n"/>
    </row>
    <row r="90">
      <c r="A90" s="20">
        <f>IF(F90="","",COUNTA($F$5:F90))</f>
        <v/>
      </c>
      <c r="B90" s="21" t="n"/>
      <c r="C90" s="22" t="n"/>
      <c r="D90" s="22" t="n"/>
      <c r="E90" s="22" t="n"/>
      <c r="F90" s="10" t="n"/>
      <c r="G90" s="22" t="n"/>
      <c r="H90" s="23" t="n"/>
      <c r="I90" s="23" t="n"/>
      <c r="J90" s="24">
        <f>IFERROR(IF(OR(H90="",I90=""),"",H90/I90),"")</f>
        <v/>
      </c>
      <c r="K90" s="20">
        <f>IFERROR(IF(J90="","",IF(J90&gt;=0.9,"A*",IF(J90&gt;=0.8,"A",IF(J90&gt;=0.7,"B",IF(J90&gt;=0.6,"C",IF(J90&gt;=0.5,"D",IF(J90&gt;=0.4,"E",IF(J90&gt;=0.3,"F","U")))))))),"")</f>
        <v/>
      </c>
      <c r="L90" s="23" t="n"/>
      <c r="M90" s="23" t="n"/>
      <c r="N90" s="23" t="n"/>
      <c r="O90" s="10" t="n"/>
    </row>
    <row r="91">
      <c r="A91" s="14">
        <f>IF(F91="","",COUNTA($F$5:F91))</f>
        <v/>
      </c>
      <c r="B91" s="15" t="n"/>
      <c r="C91" s="16" t="n"/>
      <c r="D91" s="16" t="n"/>
      <c r="E91" s="16" t="n"/>
      <c r="F91" s="8" t="n"/>
      <c r="G91" s="16" t="n"/>
      <c r="H91" s="17" t="n"/>
      <c r="I91" s="17" t="n"/>
      <c r="J91" s="18">
        <f>IFERROR(IF(OR(H91="",I91=""),"",H91/I91),"")</f>
        <v/>
      </c>
      <c r="K91" s="14">
        <f>IFERROR(IF(J91="","",IF(J91&gt;=0.9,"A*",IF(J91&gt;=0.8,"A",IF(J91&gt;=0.7,"B",IF(J91&gt;=0.6,"C",IF(J91&gt;=0.5,"D",IF(J91&gt;=0.4,"E",IF(J91&gt;=0.3,"F","U")))))))),"")</f>
        <v/>
      </c>
      <c r="L91" s="17" t="n"/>
      <c r="M91" s="17" t="n"/>
      <c r="N91" s="17" t="n"/>
      <c r="O91" s="8" t="n"/>
    </row>
    <row r="92">
      <c r="A92" s="20">
        <f>IF(F92="","",COUNTA($F$5:F92))</f>
        <v/>
      </c>
      <c r="B92" s="21" t="n"/>
      <c r="C92" s="22" t="n"/>
      <c r="D92" s="22" t="n"/>
      <c r="E92" s="22" t="n"/>
      <c r="F92" s="10" t="n"/>
      <c r="G92" s="22" t="n"/>
      <c r="H92" s="23" t="n"/>
      <c r="I92" s="23" t="n"/>
      <c r="J92" s="24">
        <f>IFERROR(IF(OR(H92="",I92=""),"",H92/I92),"")</f>
        <v/>
      </c>
      <c r="K92" s="20">
        <f>IFERROR(IF(J92="","",IF(J92&gt;=0.9,"A*",IF(J92&gt;=0.8,"A",IF(J92&gt;=0.7,"B",IF(J92&gt;=0.6,"C",IF(J92&gt;=0.5,"D",IF(J92&gt;=0.4,"E",IF(J92&gt;=0.3,"F","U")))))))),"")</f>
        <v/>
      </c>
      <c r="L92" s="23" t="n"/>
      <c r="M92" s="23" t="n"/>
      <c r="N92" s="23" t="n"/>
      <c r="O92" s="10" t="n"/>
    </row>
    <row r="93">
      <c r="A93" s="14">
        <f>IF(F93="","",COUNTA($F$5:F93))</f>
        <v/>
      </c>
      <c r="B93" s="15" t="n"/>
      <c r="C93" s="16" t="n"/>
      <c r="D93" s="16" t="n"/>
      <c r="E93" s="16" t="n"/>
      <c r="F93" s="8" t="n"/>
      <c r="G93" s="16" t="n"/>
      <c r="H93" s="17" t="n"/>
      <c r="I93" s="17" t="n"/>
      <c r="J93" s="18">
        <f>IFERROR(IF(OR(H93="",I93=""),"",H93/I93),"")</f>
        <v/>
      </c>
      <c r="K93" s="14">
        <f>IFERROR(IF(J93="","",IF(J93&gt;=0.9,"A*",IF(J93&gt;=0.8,"A",IF(J93&gt;=0.7,"B",IF(J93&gt;=0.6,"C",IF(J93&gt;=0.5,"D",IF(J93&gt;=0.4,"E",IF(J93&gt;=0.3,"F","U")))))))),"")</f>
        <v/>
      </c>
      <c r="L93" s="17" t="n"/>
      <c r="M93" s="17" t="n"/>
      <c r="N93" s="17" t="n"/>
      <c r="O93" s="8" t="n"/>
    </row>
    <row r="94">
      <c r="A94" s="20">
        <f>IF(F94="","",COUNTA($F$5:F94))</f>
        <v/>
      </c>
      <c r="B94" s="21" t="n"/>
      <c r="C94" s="22" t="n"/>
      <c r="D94" s="22" t="n"/>
      <c r="E94" s="22" t="n"/>
      <c r="F94" s="10" t="n"/>
      <c r="G94" s="22" t="n"/>
      <c r="H94" s="23" t="n"/>
      <c r="I94" s="23" t="n"/>
      <c r="J94" s="24">
        <f>IFERROR(IF(OR(H94="",I94=""),"",H94/I94),"")</f>
        <v/>
      </c>
      <c r="K94" s="20">
        <f>IFERROR(IF(J94="","",IF(J94&gt;=0.9,"A*",IF(J94&gt;=0.8,"A",IF(J94&gt;=0.7,"B",IF(J94&gt;=0.6,"C",IF(J94&gt;=0.5,"D",IF(J94&gt;=0.4,"E",IF(J94&gt;=0.3,"F","U")))))))),"")</f>
        <v/>
      </c>
      <c r="L94" s="23" t="n"/>
      <c r="M94" s="23" t="n"/>
      <c r="N94" s="23" t="n"/>
      <c r="O94" s="10" t="n"/>
    </row>
    <row r="95">
      <c r="A95" s="14">
        <f>IF(F95="","",COUNTA($F$5:F95))</f>
        <v/>
      </c>
      <c r="B95" s="15" t="n"/>
      <c r="C95" s="16" t="n"/>
      <c r="D95" s="16" t="n"/>
      <c r="E95" s="16" t="n"/>
      <c r="F95" s="8" t="n"/>
      <c r="G95" s="16" t="n"/>
      <c r="H95" s="17" t="n"/>
      <c r="I95" s="17" t="n"/>
      <c r="J95" s="18">
        <f>IFERROR(IF(OR(H95="",I95=""),"",H95/I95),"")</f>
        <v/>
      </c>
      <c r="K95" s="14">
        <f>IFERROR(IF(J95="","",IF(J95&gt;=0.9,"A*",IF(J95&gt;=0.8,"A",IF(J95&gt;=0.7,"B",IF(J95&gt;=0.6,"C",IF(J95&gt;=0.5,"D",IF(J95&gt;=0.4,"E",IF(J95&gt;=0.3,"F","U")))))))),"")</f>
        <v/>
      </c>
      <c r="L95" s="17" t="n"/>
      <c r="M95" s="17" t="n"/>
      <c r="N95" s="17" t="n"/>
      <c r="O95" s="8" t="n"/>
    </row>
    <row r="96">
      <c r="A96" s="20">
        <f>IF(F96="","",COUNTA($F$5:F96))</f>
        <v/>
      </c>
      <c r="B96" s="21" t="n"/>
      <c r="C96" s="22" t="n"/>
      <c r="D96" s="22" t="n"/>
      <c r="E96" s="22" t="n"/>
      <c r="F96" s="10" t="n"/>
      <c r="G96" s="22" t="n"/>
      <c r="H96" s="23" t="n"/>
      <c r="I96" s="23" t="n"/>
      <c r="J96" s="24">
        <f>IFERROR(IF(OR(H96="",I96=""),"",H96/I96),"")</f>
        <v/>
      </c>
      <c r="K96" s="20">
        <f>IFERROR(IF(J96="","",IF(J96&gt;=0.9,"A*",IF(J96&gt;=0.8,"A",IF(J96&gt;=0.7,"B",IF(J96&gt;=0.6,"C",IF(J96&gt;=0.5,"D",IF(J96&gt;=0.4,"E",IF(J96&gt;=0.3,"F","U")))))))),"")</f>
        <v/>
      </c>
      <c r="L96" s="23" t="n"/>
      <c r="M96" s="23" t="n"/>
      <c r="N96" s="23" t="n"/>
      <c r="O96" s="10" t="n"/>
    </row>
    <row r="97">
      <c r="A97" s="14">
        <f>IF(F97="","",COUNTA($F$5:F97))</f>
        <v/>
      </c>
      <c r="B97" s="15" t="n"/>
      <c r="C97" s="16" t="n"/>
      <c r="D97" s="16" t="n"/>
      <c r="E97" s="16" t="n"/>
      <c r="F97" s="8" t="n"/>
      <c r="G97" s="16" t="n"/>
      <c r="H97" s="17" t="n"/>
      <c r="I97" s="17" t="n"/>
      <c r="J97" s="18">
        <f>IFERROR(IF(OR(H97="",I97=""),"",H97/I97),"")</f>
        <v/>
      </c>
      <c r="K97" s="14">
        <f>IFERROR(IF(J97="","",IF(J97&gt;=0.9,"A*",IF(J97&gt;=0.8,"A",IF(J97&gt;=0.7,"B",IF(J97&gt;=0.6,"C",IF(J97&gt;=0.5,"D",IF(J97&gt;=0.4,"E",IF(J97&gt;=0.3,"F","U")))))))),"")</f>
        <v/>
      </c>
      <c r="L97" s="17" t="n"/>
      <c r="M97" s="17" t="n"/>
      <c r="N97" s="17" t="n"/>
      <c r="O97" s="8" t="n"/>
    </row>
    <row r="98">
      <c r="A98" s="20">
        <f>IF(F98="","",COUNTA($F$5:F98))</f>
        <v/>
      </c>
      <c r="B98" s="21" t="n"/>
      <c r="C98" s="22" t="n"/>
      <c r="D98" s="22" t="n"/>
      <c r="E98" s="22" t="n"/>
      <c r="F98" s="10" t="n"/>
      <c r="G98" s="22" t="n"/>
      <c r="H98" s="23" t="n"/>
      <c r="I98" s="23" t="n"/>
      <c r="J98" s="24">
        <f>IFERROR(IF(OR(H98="",I98=""),"",H98/I98),"")</f>
        <v/>
      </c>
      <c r="K98" s="20">
        <f>IFERROR(IF(J98="","",IF(J98&gt;=0.9,"A*",IF(J98&gt;=0.8,"A",IF(J98&gt;=0.7,"B",IF(J98&gt;=0.6,"C",IF(J98&gt;=0.5,"D",IF(J98&gt;=0.4,"E",IF(J98&gt;=0.3,"F","U")))))))),"")</f>
        <v/>
      </c>
      <c r="L98" s="23" t="n"/>
      <c r="M98" s="23" t="n"/>
      <c r="N98" s="23" t="n"/>
      <c r="O98" s="10" t="n"/>
    </row>
    <row r="99">
      <c r="A99" s="14">
        <f>IF(F99="","",COUNTA($F$5:F99))</f>
        <v/>
      </c>
      <c r="B99" s="15" t="n"/>
      <c r="C99" s="16" t="n"/>
      <c r="D99" s="16" t="n"/>
      <c r="E99" s="16" t="n"/>
      <c r="F99" s="8" t="n"/>
      <c r="G99" s="16" t="n"/>
      <c r="H99" s="17" t="n"/>
      <c r="I99" s="17" t="n"/>
      <c r="J99" s="18">
        <f>IFERROR(IF(OR(H99="",I99=""),"",H99/I99),"")</f>
        <v/>
      </c>
      <c r="K99" s="14">
        <f>IFERROR(IF(J99="","",IF(J99&gt;=0.9,"A*",IF(J99&gt;=0.8,"A",IF(J99&gt;=0.7,"B",IF(J99&gt;=0.6,"C",IF(J99&gt;=0.5,"D",IF(J99&gt;=0.4,"E",IF(J99&gt;=0.3,"F","U")))))))),"")</f>
        <v/>
      </c>
      <c r="L99" s="17" t="n"/>
      <c r="M99" s="17" t="n"/>
      <c r="N99" s="17" t="n"/>
      <c r="O99" s="8" t="n"/>
    </row>
    <row r="100">
      <c r="A100" s="20">
        <f>IF(F100="","",COUNTA($F$5:F100))</f>
        <v/>
      </c>
      <c r="B100" s="21" t="n"/>
      <c r="C100" s="22" t="n"/>
      <c r="D100" s="22" t="n"/>
      <c r="E100" s="22" t="n"/>
      <c r="F100" s="10" t="n"/>
      <c r="G100" s="22" t="n"/>
      <c r="H100" s="23" t="n"/>
      <c r="I100" s="23" t="n"/>
      <c r="J100" s="24">
        <f>IFERROR(IF(OR(H100="",I100=""),"",H100/I100),"")</f>
        <v/>
      </c>
      <c r="K100" s="20">
        <f>IFERROR(IF(J100="","",IF(J100&gt;=0.9,"A*",IF(J100&gt;=0.8,"A",IF(J100&gt;=0.7,"B",IF(J100&gt;=0.6,"C",IF(J100&gt;=0.5,"D",IF(J100&gt;=0.4,"E",IF(J100&gt;=0.3,"F","U")))))))),"")</f>
        <v/>
      </c>
      <c r="L100" s="23" t="n"/>
      <c r="M100" s="23" t="n"/>
      <c r="N100" s="23" t="n"/>
      <c r="O100" s="10" t="n"/>
    </row>
    <row r="101">
      <c r="A101" s="14">
        <f>IF(F101="","",COUNTA($F$5:F101))</f>
        <v/>
      </c>
      <c r="B101" s="15" t="n"/>
      <c r="C101" s="16" t="n"/>
      <c r="D101" s="16" t="n"/>
      <c r="E101" s="16" t="n"/>
      <c r="F101" s="8" t="n"/>
      <c r="G101" s="16" t="n"/>
      <c r="H101" s="17" t="n"/>
      <c r="I101" s="17" t="n"/>
      <c r="J101" s="18">
        <f>IFERROR(IF(OR(H101="",I101=""),"",H101/I101),"")</f>
        <v/>
      </c>
      <c r="K101" s="14">
        <f>IFERROR(IF(J101="","",IF(J101&gt;=0.9,"A*",IF(J101&gt;=0.8,"A",IF(J101&gt;=0.7,"B",IF(J101&gt;=0.6,"C",IF(J101&gt;=0.5,"D",IF(J101&gt;=0.4,"E",IF(J101&gt;=0.3,"F","U")))))))),"")</f>
        <v/>
      </c>
      <c r="L101" s="17" t="n"/>
      <c r="M101" s="17" t="n"/>
      <c r="N101" s="17" t="n"/>
      <c r="O101" s="8" t="n"/>
    </row>
    <row r="102">
      <c r="A102" s="20">
        <f>IF(F102="","",COUNTA($F$5:F102))</f>
        <v/>
      </c>
      <c r="B102" s="21" t="n"/>
      <c r="C102" s="22" t="n"/>
      <c r="D102" s="22" t="n"/>
      <c r="E102" s="22" t="n"/>
      <c r="F102" s="10" t="n"/>
      <c r="G102" s="22" t="n"/>
      <c r="H102" s="23" t="n"/>
      <c r="I102" s="23" t="n"/>
      <c r="J102" s="24">
        <f>IFERROR(IF(OR(H102="",I102=""),"",H102/I102),"")</f>
        <v/>
      </c>
      <c r="K102" s="20">
        <f>IFERROR(IF(J102="","",IF(J102&gt;=0.9,"A*",IF(J102&gt;=0.8,"A",IF(J102&gt;=0.7,"B",IF(J102&gt;=0.6,"C",IF(J102&gt;=0.5,"D",IF(J102&gt;=0.4,"E",IF(J102&gt;=0.3,"F","U")))))))),"")</f>
        <v/>
      </c>
      <c r="L102" s="23" t="n"/>
      <c r="M102" s="23" t="n"/>
      <c r="N102" s="23" t="n"/>
      <c r="O102" s="10" t="n"/>
    </row>
    <row r="103">
      <c r="A103" s="14">
        <f>IF(F103="","",COUNTA($F$5:F103))</f>
        <v/>
      </c>
      <c r="B103" s="15" t="n"/>
      <c r="C103" s="16" t="n"/>
      <c r="D103" s="16" t="n"/>
      <c r="E103" s="16" t="n"/>
      <c r="F103" s="8" t="n"/>
      <c r="G103" s="16" t="n"/>
      <c r="H103" s="17" t="n"/>
      <c r="I103" s="17" t="n"/>
      <c r="J103" s="18">
        <f>IFERROR(IF(OR(H103="",I103=""),"",H103/I103),"")</f>
        <v/>
      </c>
      <c r="K103" s="14">
        <f>IFERROR(IF(J103="","",IF(J103&gt;=0.9,"A*",IF(J103&gt;=0.8,"A",IF(J103&gt;=0.7,"B",IF(J103&gt;=0.6,"C",IF(J103&gt;=0.5,"D",IF(J103&gt;=0.4,"E",IF(J103&gt;=0.3,"F","U")))))))),"")</f>
        <v/>
      </c>
      <c r="L103" s="17" t="n"/>
      <c r="M103" s="17" t="n"/>
      <c r="N103" s="17" t="n"/>
      <c r="O103" s="8" t="n"/>
    </row>
    <row r="104">
      <c r="A104" s="20">
        <f>IF(F104="","",COUNTA($F$5:F104))</f>
        <v/>
      </c>
      <c r="B104" s="21" t="n"/>
      <c r="C104" s="22" t="n"/>
      <c r="D104" s="22" t="n"/>
      <c r="E104" s="22" t="n"/>
      <c r="F104" s="10" t="n"/>
      <c r="G104" s="22" t="n"/>
      <c r="H104" s="23" t="n"/>
      <c r="I104" s="23" t="n"/>
      <c r="J104" s="24">
        <f>IFERROR(IF(OR(H104="",I104=""),"",H104/I104),"")</f>
        <v/>
      </c>
      <c r="K104" s="20">
        <f>IFERROR(IF(J104="","",IF(J104&gt;=0.9,"A*",IF(J104&gt;=0.8,"A",IF(J104&gt;=0.7,"B",IF(J104&gt;=0.6,"C",IF(J104&gt;=0.5,"D",IF(J104&gt;=0.4,"E",IF(J104&gt;=0.3,"F","U")))))))),"")</f>
        <v/>
      </c>
      <c r="L104" s="23" t="n"/>
      <c r="M104" s="23" t="n"/>
      <c r="N104" s="23" t="n"/>
      <c r="O104" s="10" t="n"/>
    </row>
    <row r="105">
      <c r="A105" s="14">
        <f>IF(F105="","",COUNTA($F$5:F105))</f>
        <v/>
      </c>
      <c r="B105" s="15" t="n"/>
      <c r="C105" s="16" t="n"/>
      <c r="D105" s="16" t="n"/>
      <c r="E105" s="16" t="n"/>
      <c r="F105" s="8" t="n"/>
      <c r="G105" s="16" t="n"/>
      <c r="H105" s="17" t="n"/>
      <c r="I105" s="17" t="n"/>
      <c r="J105" s="18">
        <f>IFERROR(IF(OR(H105="",I105=""),"",H105/I105),"")</f>
        <v/>
      </c>
      <c r="K105" s="14">
        <f>IFERROR(IF(J105="","",IF(J105&gt;=0.9,"A*",IF(J105&gt;=0.8,"A",IF(J105&gt;=0.7,"B",IF(J105&gt;=0.6,"C",IF(J105&gt;=0.5,"D",IF(J105&gt;=0.4,"E",IF(J105&gt;=0.3,"F","U")))))))),"")</f>
        <v/>
      </c>
      <c r="L105" s="17" t="n"/>
      <c r="M105" s="17" t="n"/>
      <c r="N105" s="17" t="n"/>
      <c r="O105" s="8" t="n"/>
    </row>
    <row r="106">
      <c r="A106" s="20">
        <f>IF(F106="","",COUNTA($F$5:F106))</f>
        <v/>
      </c>
      <c r="B106" s="21" t="n"/>
      <c r="C106" s="22" t="n"/>
      <c r="D106" s="22" t="n"/>
      <c r="E106" s="22" t="n"/>
      <c r="F106" s="10" t="n"/>
      <c r="G106" s="22" t="n"/>
      <c r="H106" s="23" t="n"/>
      <c r="I106" s="23" t="n"/>
      <c r="J106" s="24">
        <f>IFERROR(IF(OR(H106="",I106=""),"",H106/I106),"")</f>
        <v/>
      </c>
      <c r="K106" s="20">
        <f>IFERROR(IF(J106="","",IF(J106&gt;=0.9,"A*",IF(J106&gt;=0.8,"A",IF(J106&gt;=0.7,"B",IF(J106&gt;=0.6,"C",IF(J106&gt;=0.5,"D",IF(J106&gt;=0.4,"E",IF(J106&gt;=0.3,"F","U")))))))),"")</f>
        <v/>
      </c>
      <c r="L106" s="23" t="n"/>
      <c r="M106" s="23" t="n"/>
      <c r="N106" s="23" t="n"/>
      <c r="O106" s="10" t="n"/>
    </row>
    <row r="107">
      <c r="A107" s="14">
        <f>IF(F107="","",COUNTA($F$5:F107))</f>
        <v/>
      </c>
      <c r="B107" s="15" t="n"/>
      <c r="C107" s="16" t="n"/>
      <c r="D107" s="16" t="n"/>
      <c r="E107" s="16" t="n"/>
      <c r="F107" s="8" t="n"/>
      <c r="G107" s="16" t="n"/>
      <c r="H107" s="17" t="n"/>
      <c r="I107" s="17" t="n"/>
      <c r="J107" s="18">
        <f>IFERROR(IF(OR(H107="",I107=""),"",H107/I107),"")</f>
        <v/>
      </c>
      <c r="K107" s="14">
        <f>IFERROR(IF(J107="","",IF(J107&gt;=0.9,"A*",IF(J107&gt;=0.8,"A",IF(J107&gt;=0.7,"B",IF(J107&gt;=0.6,"C",IF(J107&gt;=0.5,"D",IF(J107&gt;=0.4,"E",IF(J107&gt;=0.3,"F","U")))))))),"")</f>
        <v/>
      </c>
      <c r="L107" s="17" t="n"/>
      <c r="M107" s="17" t="n"/>
      <c r="N107" s="17" t="n"/>
      <c r="O107" s="8" t="n"/>
    </row>
    <row r="108">
      <c r="A108" s="20">
        <f>IF(F108="","",COUNTA($F$5:F108))</f>
        <v/>
      </c>
      <c r="B108" s="21" t="n"/>
      <c r="C108" s="22" t="n"/>
      <c r="D108" s="22" t="n"/>
      <c r="E108" s="22" t="n"/>
      <c r="F108" s="10" t="n"/>
      <c r="G108" s="22" t="n"/>
      <c r="H108" s="23" t="n"/>
      <c r="I108" s="23" t="n"/>
      <c r="J108" s="24">
        <f>IFERROR(IF(OR(H108="",I108=""),"",H108/I108),"")</f>
        <v/>
      </c>
      <c r="K108" s="20">
        <f>IFERROR(IF(J108="","",IF(J108&gt;=0.9,"A*",IF(J108&gt;=0.8,"A",IF(J108&gt;=0.7,"B",IF(J108&gt;=0.6,"C",IF(J108&gt;=0.5,"D",IF(J108&gt;=0.4,"E",IF(J108&gt;=0.3,"F","U")))))))),"")</f>
        <v/>
      </c>
      <c r="L108" s="23" t="n"/>
      <c r="M108" s="23" t="n"/>
      <c r="N108" s="23" t="n"/>
      <c r="O108" s="10" t="n"/>
    </row>
    <row r="109">
      <c r="A109" s="14">
        <f>IF(F109="","",COUNTA($F$5:F109))</f>
        <v/>
      </c>
      <c r="B109" s="15" t="n"/>
      <c r="C109" s="16" t="n"/>
      <c r="D109" s="16" t="n"/>
      <c r="E109" s="16" t="n"/>
      <c r="F109" s="8" t="n"/>
      <c r="G109" s="16" t="n"/>
      <c r="H109" s="17" t="n"/>
      <c r="I109" s="17" t="n"/>
      <c r="J109" s="18">
        <f>IFERROR(IF(OR(H109="",I109=""),"",H109/I109),"")</f>
        <v/>
      </c>
      <c r="K109" s="14">
        <f>IFERROR(IF(J109="","",IF(J109&gt;=0.9,"A*",IF(J109&gt;=0.8,"A",IF(J109&gt;=0.7,"B",IF(J109&gt;=0.6,"C",IF(J109&gt;=0.5,"D",IF(J109&gt;=0.4,"E",IF(J109&gt;=0.3,"F","U")))))))),"")</f>
        <v/>
      </c>
      <c r="L109" s="17" t="n"/>
      <c r="M109" s="17" t="n"/>
      <c r="N109" s="17" t="n"/>
      <c r="O109" s="8" t="n"/>
    </row>
    <row r="110">
      <c r="A110" s="20">
        <f>IF(F110="","",COUNTA($F$5:F110))</f>
        <v/>
      </c>
      <c r="B110" s="21" t="n"/>
      <c r="C110" s="22" t="n"/>
      <c r="D110" s="22" t="n"/>
      <c r="E110" s="22" t="n"/>
      <c r="F110" s="10" t="n"/>
      <c r="G110" s="22" t="n"/>
      <c r="H110" s="23" t="n"/>
      <c r="I110" s="23" t="n"/>
      <c r="J110" s="24">
        <f>IFERROR(IF(OR(H110="",I110=""),"",H110/I110),"")</f>
        <v/>
      </c>
      <c r="K110" s="20">
        <f>IFERROR(IF(J110="","",IF(J110&gt;=0.9,"A*",IF(J110&gt;=0.8,"A",IF(J110&gt;=0.7,"B",IF(J110&gt;=0.6,"C",IF(J110&gt;=0.5,"D",IF(J110&gt;=0.4,"E",IF(J110&gt;=0.3,"F","U")))))))),"")</f>
        <v/>
      </c>
      <c r="L110" s="23" t="n"/>
      <c r="M110" s="23" t="n"/>
      <c r="N110" s="23" t="n"/>
      <c r="O110" s="10" t="n"/>
    </row>
    <row r="111">
      <c r="A111" s="14">
        <f>IF(F111="","",COUNTA($F$5:F111))</f>
        <v/>
      </c>
      <c r="B111" s="15" t="n"/>
      <c r="C111" s="16" t="n"/>
      <c r="D111" s="16" t="n"/>
      <c r="E111" s="16" t="n"/>
      <c r="F111" s="8" t="n"/>
      <c r="G111" s="16" t="n"/>
      <c r="H111" s="17" t="n"/>
      <c r="I111" s="17" t="n"/>
      <c r="J111" s="18">
        <f>IFERROR(IF(OR(H111="",I111=""),"",H111/I111),"")</f>
        <v/>
      </c>
      <c r="K111" s="14">
        <f>IFERROR(IF(J111="","",IF(J111&gt;=0.9,"A*",IF(J111&gt;=0.8,"A",IF(J111&gt;=0.7,"B",IF(J111&gt;=0.6,"C",IF(J111&gt;=0.5,"D",IF(J111&gt;=0.4,"E",IF(J111&gt;=0.3,"F","U")))))))),"")</f>
        <v/>
      </c>
      <c r="L111" s="17" t="n"/>
      <c r="M111" s="17" t="n"/>
      <c r="N111" s="17" t="n"/>
      <c r="O111" s="8" t="n"/>
    </row>
    <row r="112">
      <c r="A112" s="20">
        <f>IF(F112="","",COUNTA($F$5:F112))</f>
        <v/>
      </c>
      <c r="B112" s="21" t="n"/>
      <c r="C112" s="22" t="n"/>
      <c r="D112" s="22" t="n"/>
      <c r="E112" s="22" t="n"/>
      <c r="F112" s="10" t="n"/>
      <c r="G112" s="22" t="n"/>
      <c r="H112" s="23" t="n"/>
      <c r="I112" s="23" t="n"/>
      <c r="J112" s="24">
        <f>IFERROR(IF(OR(H112="",I112=""),"",H112/I112),"")</f>
        <v/>
      </c>
      <c r="K112" s="20">
        <f>IFERROR(IF(J112="","",IF(J112&gt;=0.9,"A*",IF(J112&gt;=0.8,"A",IF(J112&gt;=0.7,"B",IF(J112&gt;=0.6,"C",IF(J112&gt;=0.5,"D",IF(J112&gt;=0.4,"E",IF(J112&gt;=0.3,"F","U")))))))),"")</f>
        <v/>
      </c>
      <c r="L112" s="23" t="n"/>
      <c r="M112" s="23" t="n"/>
      <c r="N112" s="23" t="n"/>
      <c r="O112" s="10" t="n"/>
    </row>
    <row r="113">
      <c r="A113" s="14">
        <f>IF(F113="","",COUNTA($F$5:F113))</f>
        <v/>
      </c>
      <c r="B113" s="15" t="n"/>
      <c r="C113" s="16" t="n"/>
      <c r="D113" s="16" t="n"/>
      <c r="E113" s="16" t="n"/>
      <c r="F113" s="8" t="n"/>
      <c r="G113" s="16" t="n"/>
      <c r="H113" s="17" t="n"/>
      <c r="I113" s="17" t="n"/>
      <c r="J113" s="18">
        <f>IFERROR(IF(OR(H113="",I113=""),"",H113/I113),"")</f>
        <v/>
      </c>
      <c r="K113" s="14">
        <f>IFERROR(IF(J113="","",IF(J113&gt;=0.9,"A*",IF(J113&gt;=0.8,"A",IF(J113&gt;=0.7,"B",IF(J113&gt;=0.6,"C",IF(J113&gt;=0.5,"D",IF(J113&gt;=0.4,"E",IF(J113&gt;=0.3,"F","U")))))))),"")</f>
        <v/>
      </c>
      <c r="L113" s="17" t="n"/>
      <c r="M113" s="17" t="n"/>
      <c r="N113" s="17" t="n"/>
      <c r="O113" s="8" t="n"/>
    </row>
    <row r="114">
      <c r="A114" s="20">
        <f>IF(F114="","",COUNTA($F$5:F114))</f>
        <v/>
      </c>
      <c r="B114" s="21" t="n"/>
      <c r="C114" s="22" t="n"/>
      <c r="D114" s="22" t="n"/>
      <c r="E114" s="22" t="n"/>
      <c r="F114" s="10" t="n"/>
      <c r="G114" s="22" t="n"/>
      <c r="H114" s="23" t="n"/>
      <c r="I114" s="23" t="n"/>
      <c r="J114" s="24">
        <f>IFERROR(IF(OR(H114="",I114=""),"",H114/I114),"")</f>
        <v/>
      </c>
      <c r="K114" s="20">
        <f>IFERROR(IF(J114="","",IF(J114&gt;=0.9,"A*",IF(J114&gt;=0.8,"A",IF(J114&gt;=0.7,"B",IF(J114&gt;=0.6,"C",IF(J114&gt;=0.5,"D",IF(J114&gt;=0.4,"E",IF(J114&gt;=0.3,"F","U")))))))),"")</f>
        <v/>
      </c>
      <c r="L114" s="23" t="n"/>
      <c r="M114" s="23" t="n"/>
      <c r="N114" s="23" t="n"/>
      <c r="O114" s="10" t="n"/>
    </row>
    <row r="115">
      <c r="A115" s="14">
        <f>IF(F115="","",COUNTA($F$5:F115))</f>
        <v/>
      </c>
      <c r="B115" s="15" t="n"/>
      <c r="C115" s="16" t="n"/>
      <c r="D115" s="16" t="n"/>
      <c r="E115" s="16" t="n"/>
      <c r="F115" s="8" t="n"/>
      <c r="G115" s="16" t="n"/>
      <c r="H115" s="17" t="n"/>
      <c r="I115" s="17" t="n"/>
      <c r="J115" s="18">
        <f>IFERROR(IF(OR(H115="",I115=""),"",H115/I115),"")</f>
        <v/>
      </c>
      <c r="K115" s="14">
        <f>IFERROR(IF(J115="","",IF(J115&gt;=0.9,"A*",IF(J115&gt;=0.8,"A",IF(J115&gt;=0.7,"B",IF(J115&gt;=0.6,"C",IF(J115&gt;=0.5,"D",IF(J115&gt;=0.4,"E",IF(J115&gt;=0.3,"F","U")))))))),"")</f>
        <v/>
      </c>
      <c r="L115" s="17" t="n"/>
      <c r="M115" s="17" t="n"/>
      <c r="N115" s="17" t="n"/>
      <c r="O115" s="8" t="n"/>
    </row>
    <row r="116">
      <c r="A116" s="20">
        <f>IF(F116="","",COUNTA($F$5:F116))</f>
        <v/>
      </c>
      <c r="B116" s="21" t="n"/>
      <c r="C116" s="22" t="n"/>
      <c r="D116" s="22" t="n"/>
      <c r="E116" s="22" t="n"/>
      <c r="F116" s="10" t="n"/>
      <c r="G116" s="22" t="n"/>
      <c r="H116" s="23" t="n"/>
      <c r="I116" s="23" t="n"/>
      <c r="J116" s="24">
        <f>IFERROR(IF(OR(H116="",I116=""),"",H116/I116),"")</f>
        <v/>
      </c>
      <c r="K116" s="20">
        <f>IFERROR(IF(J116="","",IF(J116&gt;=0.9,"A*",IF(J116&gt;=0.8,"A",IF(J116&gt;=0.7,"B",IF(J116&gt;=0.6,"C",IF(J116&gt;=0.5,"D",IF(J116&gt;=0.4,"E",IF(J116&gt;=0.3,"F","U")))))))),"")</f>
        <v/>
      </c>
      <c r="L116" s="23" t="n"/>
      <c r="M116" s="23" t="n"/>
      <c r="N116" s="23" t="n"/>
      <c r="O116" s="10" t="n"/>
    </row>
    <row r="117">
      <c r="A117" s="14">
        <f>IF(F117="","",COUNTA($F$5:F117))</f>
        <v/>
      </c>
      <c r="B117" s="15" t="n"/>
      <c r="C117" s="16" t="n"/>
      <c r="D117" s="16" t="n"/>
      <c r="E117" s="16" t="n"/>
      <c r="F117" s="8" t="n"/>
      <c r="G117" s="16" t="n"/>
      <c r="H117" s="17" t="n"/>
      <c r="I117" s="17" t="n"/>
      <c r="J117" s="18">
        <f>IFERROR(IF(OR(H117="",I117=""),"",H117/I117),"")</f>
        <v/>
      </c>
      <c r="K117" s="14">
        <f>IFERROR(IF(J117="","",IF(J117&gt;=0.9,"A*",IF(J117&gt;=0.8,"A",IF(J117&gt;=0.7,"B",IF(J117&gt;=0.6,"C",IF(J117&gt;=0.5,"D",IF(J117&gt;=0.4,"E",IF(J117&gt;=0.3,"F","U")))))))),"")</f>
        <v/>
      </c>
      <c r="L117" s="17" t="n"/>
      <c r="M117" s="17" t="n"/>
      <c r="N117" s="17" t="n"/>
      <c r="O117" s="8" t="n"/>
    </row>
    <row r="118">
      <c r="A118" s="20">
        <f>IF(F118="","",COUNTA($F$5:F118))</f>
        <v/>
      </c>
      <c r="B118" s="21" t="n"/>
      <c r="C118" s="22" t="n"/>
      <c r="D118" s="22" t="n"/>
      <c r="E118" s="22" t="n"/>
      <c r="F118" s="10" t="n"/>
      <c r="G118" s="22" t="n"/>
      <c r="H118" s="23" t="n"/>
      <c r="I118" s="23" t="n"/>
      <c r="J118" s="24">
        <f>IFERROR(IF(OR(H118="",I118=""),"",H118/I118),"")</f>
        <v/>
      </c>
      <c r="K118" s="20">
        <f>IFERROR(IF(J118="","",IF(J118&gt;=0.9,"A*",IF(J118&gt;=0.8,"A",IF(J118&gt;=0.7,"B",IF(J118&gt;=0.6,"C",IF(J118&gt;=0.5,"D",IF(J118&gt;=0.4,"E",IF(J118&gt;=0.3,"F","U")))))))),"")</f>
        <v/>
      </c>
      <c r="L118" s="23" t="n"/>
      <c r="M118" s="23" t="n"/>
      <c r="N118" s="23" t="n"/>
      <c r="O118" s="10" t="n"/>
    </row>
    <row r="119">
      <c r="A119" s="14">
        <f>IF(F119="","",COUNTA($F$5:F119))</f>
        <v/>
      </c>
      <c r="B119" s="15" t="n"/>
      <c r="C119" s="16" t="n"/>
      <c r="D119" s="16" t="n"/>
      <c r="E119" s="16" t="n"/>
      <c r="F119" s="8" t="n"/>
      <c r="G119" s="16" t="n"/>
      <c r="H119" s="17" t="n"/>
      <c r="I119" s="17" t="n"/>
      <c r="J119" s="18">
        <f>IFERROR(IF(OR(H119="",I119=""),"",H119/I119),"")</f>
        <v/>
      </c>
      <c r="K119" s="14">
        <f>IFERROR(IF(J119="","",IF(J119&gt;=0.9,"A*",IF(J119&gt;=0.8,"A",IF(J119&gt;=0.7,"B",IF(J119&gt;=0.6,"C",IF(J119&gt;=0.5,"D",IF(J119&gt;=0.4,"E",IF(J119&gt;=0.3,"F","U")))))))),"")</f>
        <v/>
      </c>
      <c r="L119" s="17" t="n"/>
      <c r="M119" s="17" t="n"/>
      <c r="N119" s="17" t="n"/>
      <c r="O119" s="8" t="n"/>
    </row>
    <row r="120">
      <c r="A120" s="20">
        <f>IF(F120="","",COUNTA($F$5:F120))</f>
        <v/>
      </c>
      <c r="B120" s="21" t="n"/>
      <c r="C120" s="22" t="n"/>
      <c r="D120" s="22" t="n"/>
      <c r="E120" s="22" t="n"/>
      <c r="F120" s="10" t="n"/>
      <c r="G120" s="22" t="n"/>
      <c r="H120" s="23" t="n"/>
      <c r="I120" s="23" t="n"/>
      <c r="J120" s="24">
        <f>IFERROR(IF(OR(H120="",I120=""),"",H120/I120),"")</f>
        <v/>
      </c>
      <c r="K120" s="20">
        <f>IFERROR(IF(J120="","",IF(J120&gt;=0.9,"A*",IF(J120&gt;=0.8,"A",IF(J120&gt;=0.7,"B",IF(J120&gt;=0.6,"C",IF(J120&gt;=0.5,"D",IF(J120&gt;=0.4,"E",IF(J120&gt;=0.3,"F","U")))))))),"")</f>
        <v/>
      </c>
      <c r="L120" s="23" t="n"/>
      <c r="M120" s="23" t="n"/>
      <c r="N120" s="23" t="n"/>
      <c r="O120" s="10" t="n"/>
    </row>
    <row r="121">
      <c r="A121" s="14">
        <f>IF(F121="","",COUNTA($F$5:F121))</f>
        <v/>
      </c>
      <c r="B121" s="15" t="n"/>
      <c r="C121" s="16" t="n"/>
      <c r="D121" s="16" t="n"/>
      <c r="E121" s="16" t="n"/>
      <c r="F121" s="8" t="n"/>
      <c r="G121" s="16" t="n"/>
      <c r="H121" s="17" t="n"/>
      <c r="I121" s="17" t="n"/>
      <c r="J121" s="18">
        <f>IFERROR(IF(OR(H121="",I121=""),"",H121/I121),"")</f>
        <v/>
      </c>
      <c r="K121" s="14">
        <f>IFERROR(IF(J121="","",IF(J121&gt;=0.9,"A*",IF(J121&gt;=0.8,"A",IF(J121&gt;=0.7,"B",IF(J121&gt;=0.6,"C",IF(J121&gt;=0.5,"D",IF(J121&gt;=0.4,"E",IF(J121&gt;=0.3,"F","U")))))))),"")</f>
        <v/>
      </c>
      <c r="L121" s="17" t="n"/>
      <c r="M121" s="17" t="n"/>
      <c r="N121" s="17" t="n"/>
      <c r="O121" s="8" t="n"/>
    </row>
    <row r="122">
      <c r="A122" s="20">
        <f>IF(F122="","",COUNTA($F$5:F122))</f>
        <v/>
      </c>
      <c r="B122" s="21" t="n"/>
      <c r="C122" s="22" t="n"/>
      <c r="D122" s="22" t="n"/>
      <c r="E122" s="22" t="n"/>
      <c r="F122" s="10" t="n"/>
      <c r="G122" s="22" t="n"/>
      <c r="H122" s="23" t="n"/>
      <c r="I122" s="23" t="n"/>
      <c r="J122" s="24">
        <f>IFERROR(IF(OR(H122="",I122=""),"",H122/I122),"")</f>
        <v/>
      </c>
      <c r="K122" s="20">
        <f>IFERROR(IF(J122="","",IF(J122&gt;=0.9,"A*",IF(J122&gt;=0.8,"A",IF(J122&gt;=0.7,"B",IF(J122&gt;=0.6,"C",IF(J122&gt;=0.5,"D",IF(J122&gt;=0.4,"E",IF(J122&gt;=0.3,"F","U")))))))),"")</f>
        <v/>
      </c>
      <c r="L122" s="23" t="n"/>
      <c r="M122" s="23" t="n"/>
      <c r="N122" s="23" t="n"/>
      <c r="O122" s="10" t="n"/>
    </row>
    <row r="123">
      <c r="A123" s="14">
        <f>IF(F123="","",COUNTA($F$5:F123))</f>
        <v/>
      </c>
      <c r="B123" s="15" t="n"/>
      <c r="C123" s="16" t="n"/>
      <c r="D123" s="16" t="n"/>
      <c r="E123" s="16" t="n"/>
      <c r="F123" s="8" t="n"/>
      <c r="G123" s="16" t="n"/>
      <c r="H123" s="17" t="n"/>
      <c r="I123" s="17" t="n"/>
      <c r="J123" s="18">
        <f>IFERROR(IF(OR(H123="",I123=""),"",H123/I123),"")</f>
        <v/>
      </c>
      <c r="K123" s="14">
        <f>IFERROR(IF(J123="","",IF(J123&gt;=0.9,"A*",IF(J123&gt;=0.8,"A",IF(J123&gt;=0.7,"B",IF(J123&gt;=0.6,"C",IF(J123&gt;=0.5,"D",IF(J123&gt;=0.4,"E",IF(J123&gt;=0.3,"F","U")))))))),"")</f>
        <v/>
      </c>
      <c r="L123" s="17" t="n"/>
      <c r="M123" s="17" t="n"/>
      <c r="N123" s="17" t="n"/>
      <c r="O123" s="8" t="n"/>
    </row>
    <row r="124">
      <c r="A124" s="20">
        <f>IF(F124="","",COUNTA($F$5:F124))</f>
        <v/>
      </c>
      <c r="B124" s="21" t="n"/>
      <c r="C124" s="22" t="n"/>
      <c r="D124" s="22" t="n"/>
      <c r="E124" s="22" t="n"/>
      <c r="F124" s="10" t="n"/>
      <c r="G124" s="22" t="n"/>
      <c r="H124" s="23" t="n"/>
      <c r="I124" s="23" t="n"/>
      <c r="J124" s="24">
        <f>IFERROR(IF(OR(H124="",I124=""),"",H124/I124),"")</f>
        <v/>
      </c>
      <c r="K124" s="20">
        <f>IFERROR(IF(J124="","",IF(J124&gt;=0.9,"A*",IF(J124&gt;=0.8,"A",IF(J124&gt;=0.7,"B",IF(J124&gt;=0.6,"C",IF(J124&gt;=0.5,"D",IF(J124&gt;=0.4,"E",IF(J124&gt;=0.3,"F","U")))))))),"")</f>
        <v/>
      </c>
      <c r="L124" s="23" t="n"/>
      <c r="M124" s="23" t="n"/>
      <c r="N124" s="23" t="n"/>
      <c r="O124" s="10" t="n"/>
    </row>
  </sheetData>
  <mergeCells count="2">
    <mergeCell ref="A1:O1"/>
    <mergeCell ref="A2:O2"/>
  </mergeCells>
  <conditionalFormatting sqref="J5:J124">
    <cfRule type="colorScale" priority="1">
      <colorScale>
        <cfvo type="num" val="0"/>
        <cfvo type="num" val="0.6"/>
        <cfvo type="num" val="1"/>
        <color rgb="00F8696B"/>
        <color rgb="00FFEB84"/>
        <color rgb="0063BE7B"/>
      </colorScale>
    </cfRule>
    <cfRule type="expression" priority="2" dxfId="0">
      <formula>AND(ISNUMBER(J5),J5&lt;0.5)</formula>
    </cfRule>
  </conditionalFormatting>
  <conditionalFormatting sqref="K5:K124">
    <cfRule type="expression" priority="3" dxfId="2">
      <formula>K5="A*"</formula>
    </cfRule>
    <cfRule type="expression" priority="4" dxfId="2">
      <formula>K5="A"</formula>
    </cfRule>
    <cfRule type="expression" priority="5" dxfId="2">
      <formula>K5="B"</formula>
    </cfRule>
    <cfRule type="expression" priority="6" dxfId="1">
      <formula>OR(K5="C",K5="D")</formula>
    </cfRule>
    <cfRule type="expression" priority="7" dxfId="0">
      <formula>OR(K5="E",K5="F",K5="U")</formula>
    </cfRule>
  </conditionalFormatting>
  <conditionalFormatting sqref="M5:M124">
    <cfRule type="expression" priority="8" dxfId="0">
      <formula>AND(ISNUMBER(M5),ISNUMBER(L5),M5&gt;L5)</formula>
    </cfRule>
    <cfRule type="expression" priority="9" dxfId="2">
      <formula>AND(ISNUMBER(M5),ISNUMBER(L5),M5&lt;=L5)</formula>
    </cfRule>
  </conditionalFormatting>
  <dataValidations count="6">
    <dataValidation sqref="C5:C124" showDropDown="0" showInputMessage="0" showErrorMessage="0" allowBlank="1" type="list">
      <formula1>=UnitList</formula1>
    </dataValidation>
    <dataValidation sqref="E5:E124" showDropDown="0" showInputMessage="0" showErrorMessage="0" allowBlank="1" type="list">
      <formula1>=QuizTypeList</formula1>
    </dataValidation>
    <dataValidation sqref="G5:G124" showDropDown="0" showInputMessage="0" showErrorMessage="0" allowBlank="1" type="list">
      <formula1>=DifficultyList</formula1>
    </dataValidation>
    <dataValidation sqref="D5:D124" showDropDown="0" showInputMessage="0" showErrorMessage="0" allowBlank="1" type="list">
      <formula1>=IF($C5="Unit 2",Unit2Topics,Unit1Topics)</formula1>
    </dataValidation>
    <dataValidation sqref="H5:H124" showDropDown="0" showInputMessage="0" showErrorMessage="0" allowBlank="1" type="decimal" operator="between">
      <formula1>0</formula1>
      <formula2>1000</formula2>
    </dataValidation>
    <dataValidation sqref="I5:I124" showDropDown="0" showInputMessage="0" showErrorMessage="0" allowBlank="1" type="decimal" operator="between">
      <formula1>1</formula1>
      <formula2>1000</formula2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7D4800"/>
    <outlinePr summaryBelow="1" summaryRight="1"/>
    <pageSetUpPr/>
  </sheetPr>
  <dimension ref="B2:H58"/>
  <sheetViews>
    <sheetView showGridLines="0" workbookViewId="0">
      <pane xSplit="1" ySplit="8" topLeftCell="B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8" customWidth="1" min="2" max="2"/>
    <col width="14" customWidth="1" min="3" max="3"/>
    <col width="12" customWidth="1" min="4" max="4"/>
    <col width="38" customWidth="1" min="5" max="5"/>
    <col width="16" customWidth="1" min="6" max="6"/>
    <col width="14" customWidth="1" min="7" max="7"/>
    <col width="16" customWidth="1" min="8" max="8"/>
    <col width="2" customWidth="1" min="9" max="9"/>
  </cols>
  <sheetData>
    <row r="2" ht="30" customHeight="1">
      <c r="B2" s="11" t="inlineStr">
        <is>
          <t>⏰   UPCOMING &amp; OVERDUE DEADLINES</t>
        </is>
      </c>
    </row>
    <row r="3" ht="20" customHeight="1">
      <c r="B3" s="50" t="inlineStr">
        <is>
          <t>Auto-filtered from Assignments sheet  ·  Only shows pending/late/missing  ·  Sorted by due date (earliest first)</t>
        </is>
      </c>
    </row>
    <row r="5" ht="18" customHeight="1">
      <c r="B5" s="65" t="inlineStr">
        <is>
          <t>🔴 OVERDUE</t>
        </is>
      </c>
      <c r="D5" s="66" t="inlineStr">
        <is>
          <t>🟡 DUE THIS WEEK</t>
        </is>
      </c>
      <c r="F5" s="67" t="inlineStr">
        <is>
          <t>🟢 UPCOMING (&gt;7d)</t>
        </is>
      </c>
    </row>
    <row r="6" ht="38" customHeight="1">
      <c r="B6" s="38">
        <f>SUMPRODUCT((Assignments!C5:C124&lt;&gt;"")*(Assignments!C5:C124&lt;TODAY())*(Assignments!I5:I124=""))</f>
        <v/>
      </c>
      <c r="C6" s="39" t="n"/>
      <c r="D6" s="38">
        <f>SUMPRODUCT((Assignments!C5:C124&lt;&gt;"")*(Assignments!C5:C124&gt;=TODAY())*(Assignments!C5:C124&lt;=TODAY()+7)*(Assignments!I5:I124=""))</f>
        <v/>
      </c>
      <c r="E6" s="39" t="n"/>
      <c r="F6" s="38">
        <f>SUMPRODUCT((Assignments!C5:C124&lt;&gt;"")*(Assignments!C5:C124&gt;TODAY()+7)*(Assignments!I5:I124=""))</f>
        <v/>
      </c>
      <c r="G6" s="39" t="n"/>
    </row>
    <row r="8" ht="26" customHeight="1">
      <c r="B8" s="13" t="inlineStr">
        <is>
          <t>#</t>
        </is>
      </c>
      <c r="C8" s="13" t="inlineStr">
        <is>
          <t>Due Date</t>
        </is>
      </c>
      <c r="D8" s="13" t="inlineStr">
        <is>
          <t>Days Left</t>
        </is>
      </c>
      <c r="E8" s="13" t="inlineStr">
        <is>
          <t>Title</t>
        </is>
      </c>
      <c r="F8" s="13" t="inlineStr">
        <is>
          <t>Topic</t>
        </is>
      </c>
      <c r="G8" s="13" t="inlineStr">
        <is>
          <t>Type</t>
        </is>
      </c>
      <c r="H8" s="13" t="inlineStr">
        <is>
          <t>Status</t>
        </is>
      </c>
    </row>
    <row r="9">
      <c r="B9" s="16" t="n">
        <v>1</v>
      </c>
      <c r="C9" s="15">
        <f>IFERROR(INDEX(Assignments!$C:$C,MATCH(SMALL(IF((Assignments!$C$5:$C$124&lt;&gt;"")*(Assignments!$I$5:$I$124=""),Assignments!$C$5:$C$124+ROW(Assignments!$C$5:$C$124)/100000,9^9),1),IF((Assignments!$C$5:$C$124&lt;&gt;"")*(Assignments!$I$5:$I$124=""),Assignments!$C$5:$C$124+ROW(Assignments!$C$5:$C$124)/100000,9^9),0)+4),"")</f>
        <v/>
      </c>
      <c r="D9" s="17">
        <f>IFERROR(IF(INDEX(Assignments!$C:$C,MATCH(SMALL(IF((Assignments!$C$5:$C$124&lt;&gt;"")*(Assignments!$I$5:$I$124=""),Assignments!$C$5:$C$124+ROW(Assignments!$C$5:$C$124)/100000,9^9),1),IF((Assignments!$C$5:$C$124&lt;&gt;"")*(Assignments!$I$5:$I$124=""),Assignments!$C$5:$C$124+ROW(Assignments!$C$5:$C$124)/100000,9^9),0)+4)="","",INDEX(Assignments!$C:$C,MATCH(SMALL(IF((Assignments!$C$5:$C$124&lt;&gt;"")*(Assignments!$I$5:$I$124=""),Assignments!$C$5:$C$124+ROW(Assignments!$C$5:$C$124)/100000,9^9),1),IF((Assignments!$C$5:$C$124&lt;&gt;"")*(Assignments!$I$5:$I$124=""),Assignments!$C$5:$C$124+ROW(Assignments!$C$5:$C$124)/100000,9^9),0)+4)-TODAY()),"")</f>
        <v/>
      </c>
      <c r="E9" s="8">
        <f>IFERROR(INDEX(Assignments!$G:$G,MATCH(SMALL(IF((Assignments!$C$5:$C$124&lt;&gt;"")*(Assignments!$I$5:$I$124=""),Assignments!$C$5:$C$124+ROW(Assignments!$C$5:$C$124)/100000,9^9),1),IF((Assignments!$C$5:$C$124&lt;&gt;"")*(Assignments!$I$5:$I$124=""),Assignments!$C$5:$C$124+ROW(Assignments!$C$5:$C$124)/100000,9^9),0)+4),"")</f>
        <v/>
      </c>
      <c r="F9" s="16">
        <f>IFERROR(INDEX(Assignments!$E:$E,MATCH(SMALL(IF((Assignments!$C$5:$C$124&lt;&gt;"")*(Assignments!$I$5:$I$124=""),Assignments!$C$5:$C$124+ROW(Assignments!$C$5:$C$124)/100000,9^9),1),IF((Assignments!$C$5:$C$124&lt;&gt;"")*(Assignments!$I$5:$I$124=""),Assignments!$C$5:$C$124+ROW(Assignments!$C$5:$C$124)/100000,9^9),0)+4),"")</f>
        <v/>
      </c>
      <c r="G9" s="16">
        <f>IFERROR(INDEX(Assignments!$F:$F,MATCH(SMALL(IF((Assignments!$C$5:$C$124&lt;&gt;"")*(Assignments!$I$5:$I$124=""),Assignments!$C$5:$C$124+ROW(Assignments!$C$5:$C$124)/100000,9^9),1),IF((Assignments!$C$5:$C$124&lt;&gt;"")*(Assignments!$I$5:$I$124=""),Assignments!$C$5:$C$124+ROW(Assignments!$C$5:$C$124)/100000,9^9),0)+4),"")</f>
        <v/>
      </c>
      <c r="H9" s="16">
        <f>IFERROR(INDEX(Assignments!$N:$N,MATCH(SMALL(IF((Assignments!$C$5:$C$124&lt;&gt;"")*(Assignments!$I$5:$I$124=""),Assignments!$C$5:$C$124+ROW(Assignments!$C$5:$C$124)/100000,9^9),1),IF((Assignments!$C$5:$C$124&lt;&gt;"")*(Assignments!$I$5:$I$124=""),Assignments!$C$5:$C$124+ROW(Assignments!$C$5:$C$124)/100000,9^9),0)+4),"")</f>
        <v/>
      </c>
    </row>
    <row r="10">
      <c r="B10" s="22" t="n">
        <v>2</v>
      </c>
      <c r="C10" s="21">
        <f>IFERROR(INDEX(Assignments!$C:$C,MATCH(SMALL(IF((Assignments!$C$5:$C$124&lt;&gt;"")*(Assignments!$I$5:$I$124=""),Assignments!$C$5:$C$124+ROW(Assignments!$C$5:$C$124)/100000,9^9),2),IF((Assignments!$C$5:$C$124&lt;&gt;"")*(Assignments!$I$5:$I$124=""),Assignments!$C$5:$C$124+ROW(Assignments!$C$5:$C$124)/100000,9^9),0)+4),"")</f>
        <v/>
      </c>
      <c r="D10" s="23">
        <f>IFERROR(IF(INDEX(Assignments!$C:$C,MATCH(SMALL(IF((Assignments!$C$5:$C$124&lt;&gt;"")*(Assignments!$I$5:$I$124=""),Assignments!$C$5:$C$124+ROW(Assignments!$C$5:$C$124)/100000,9^9),2),IF((Assignments!$C$5:$C$124&lt;&gt;"")*(Assignments!$I$5:$I$124=""),Assignments!$C$5:$C$124+ROW(Assignments!$C$5:$C$124)/100000,9^9),0)+4)="","",INDEX(Assignments!$C:$C,MATCH(SMALL(IF((Assignments!$C$5:$C$124&lt;&gt;"")*(Assignments!$I$5:$I$124=""),Assignments!$C$5:$C$124+ROW(Assignments!$C$5:$C$124)/100000,9^9),2),IF((Assignments!$C$5:$C$124&lt;&gt;"")*(Assignments!$I$5:$I$124=""),Assignments!$C$5:$C$124+ROW(Assignments!$C$5:$C$124)/100000,9^9),0)+4)-TODAY()),"")</f>
        <v/>
      </c>
      <c r="E10" s="10">
        <f>IFERROR(INDEX(Assignments!$G:$G,MATCH(SMALL(IF((Assignments!$C$5:$C$124&lt;&gt;"")*(Assignments!$I$5:$I$124=""),Assignments!$C$5:$C$124+ROW(Assignments!$C$5:$C$124)/100000,9^9),2),IF((Assignments!$C$5:$C$124&lt;&gt;"")*(Assignments!$I$5:$I$124=""),Assignments!$C$5:$C$124+ROW(Assignments!$C$5:$C$124)/100000,9^9),0)+4),"")</f>
        <v/>
      </c>
      <c r="F10" s="22">
        <f>IFERROR(INDEX(Assignments!$E:$E,MATCH(SMALL(IF((Assignments!$C$5:$C$124&lt;&gt;"")*(Assignments!$I$5:$I$124=""),Assignments!$C$5:$C$124+ROW(Assignments!$C$5:$C$124)/100000,9^9),2),IF((Assignments!$C$5:$C$124&lt;&gt;"")*(Assignments!$I$5:$I$124=""),Assignments!$C$5:$C$124+ROW(Assignments!$C$5:$C$124)/100000,9^9),0)+4),"")</f>
        <v/>
      </c>
      <c r="G10" s="22">
        <f>IFERROR(INDEX(Assignments!$F:$F,MATCH(SMALL(IF((Assignments!$C$5:$C$124&lt;&gt;"")*(Assignments!$I$5:$I$124=""),Assignments!$C$5:$C$124+ROW(Assignments!$C$5:$C$124)/100000,9^9),2),IF((Assignments!$C$5:$C$124&lt;&gt;"")*(Assignments!$I$5:$I$124=""),Assignments!$C$5:$C$124+ROW(Assignments!$C$5:$C$124)/100000,9^9),0)+4),"")</f>
        <v/>
      </c>
      <c r="H10" s="22">
        <f>IFERROR(INDEX(Assignments!$N:$N,MATCH(SMALL(IF((Assignments!$C$5:$C$124&lt;&gt;"")*(Assignments!$I$5:$I$124=""),Assignments!$C$5:$C$124+ROW(Assignments!$C$5:$C$124)/100000,9^9),2),IF((Assignments!$C$5:$C$124&lt;&gt;"")*(Assignments!$I$5:$I$124=""),Assignments!$C$5:$C$124+ROW(Assignments!$C$5:$C$124)/100000,9^9),0)+4),"")</f>
        <v/>
      </c>
    </row>
    <row r="11">
      <c r="B11" s="16" t="n">
        <v>3</v>
      </c>
      <c r="C11" s="15">
        <f>IFERROR(INDEX(Assignments!$C:$C,MATCH(SMALL(IF((Assignments!$C$5:$C$124&lt;&gt;"")*(Assignments!$I$5:$I$124=""),Assignments!$C$5:$C$124+ROW(Assignments!$C$5:$C$124)/100000,9^9),3),IF((Assignments!$C$5:$C$124&lt;&gt;"")*(Assignments!$I$5:$I$124=""),Assignments!$C$5:$C$124+ROW(Assignments!$C$5:$C$124)/100000,9^9),0)+4),"")</f>
        <v/>
      </c>
      <c r="D11" s="17">
        <f>IFERROR(IF(INDEX(Assignments!$C:$C,MATCH(SMALL(IF((Assignments!$C$5:$C$124&lt;&gt;"")*(Assignments!$I$5:$I$124=""),Assignments!$C$5:$C$124+ROW(Assignments!$C$5:$C$124)/100000,9^9),3),IF((Assignments!$C$5:$C$124&lt;&gt;"")*(Assignments!$I$5:$I$124=""),Assignments!$C$5:$C$124+ROW(Assignments!$C$5:$C$124)/100000,9^9),0)+4)="","",INDEX(Assignments!$C:$C,MATCH(SMALL(IF((Assignments!$C$5:$C$124&lt;&gt;"")*(Assignments!$I$5:$I$124=""),Assignments!$C$5:$C$124+ROW(Assignments!$C$5:$C$124)/100000,9^9),3),IF((Assignments!$C$5:$C$124&lt;&gt;"")*(Assignments!$I$5:$I$124=""),Assignments!$C$5:$C$124+ROW(Assignments!$C$5:$C$124)/100000,9^9),0)+4)-TODAY()),"")</f>
        <v/>
      </c>
      <c r="E11" s="8">
        <f>IFERROR(INDEX(Assignments!$G:$G,MATCH(SMALL(IF((Assignments!$C$5:$C$124&lt;&gt;"")*(Assignments!$I$5:$I$124=""),Assignments!$C$5:$C$124+ROW(Assignments!$C$5:$C$124)/100000,9^9),3),IF((Assignments!$C$5:$C$124&lt;&gt;"")*(Assignments!$I$5:$I$124=""),Assignments!$C$5:$C$124+ROW(Assignments!$C$5:$C$124)/100000,9^9),0)+4),"")</f>
        <v/>
      </c>
      <c r="F11" s="16">
        <f>IFERROR(INDEX(Assignments!$E:$E,MATCH(SMALL(IF((Assignments!$C$5:$C$124&lt;&gt;"")*(Assignments!$I$5:$I$124=""),Assignments!$C$5:$C$124+ROW(Assignments!$C$5:$C$124)/100000,9^9),3),IF((Assignments!$C$5:$C$124&lt;&gt;"")*(Assignments!$I$5:$I$124=""),Assignments!$C$5:$C$124+ROW(Assignments!$C$5:$C$124)/100000,9^9),0)+4),"")</f>
        <v/>
      </c>
      <c r="G11" s="16">
        <f>IFERROR(INDEX(Assignments!$F:$F,MATCH(SMALL(IF((Assignments!$C$5:$C$124&lt;&gt;"")*(Assignments!$I$5:$I$124=""),Assignments!$C$5:$C$124+ROW(Assignments!$C$5:$C$124)/100000,9^9),3),IF((Assignments!$C$5:$C$124&lt;&gt;"")*(Assignments!$I$5:$I$124=""),Assignments!$C$5:$C$124+ROW(Assignments!$C$5:$C$124)/100000,9^9),0)+4),"")</f>
        <v/>
      </c>
      <c r="H11" s="16">
        <f>IFERROR(INDEX(Assignments!$N:$N,MATCH(SMALL(IF((Assignments!$C$5:$C$124&lt;&gt;"")*(Assignments!$I$5:$I$124=""),Assignments!$C$5:$C$124+ROW(Assignments!$C$5:$C$124)/100000,9^9),3),IF((Assignments!$C$5:$C$124&lt;&gt;"")*(Assignments!$I$5:$I$124=""),Assignments!$C$5:$C$124+ROW(Assignments!$C$5:$C$124)/100000,9^9),0)+4),"")</f>
        <v/>
      </c>
    </row>
    <row r="12">
      <c r="B12" s="22" t="n">
        <v>4</v>
      </c>
      <c r="C12" s="21">
        <f>IFERROR(INDEX(Assignments!$C:$C,MATCH(SMALL(IF((Assignments!$C$5:$C$124&lt;&gt;"")*(Assignments!$I$5:$I$124=""),Assignments!$C$5:$C$124+ROW(Assignments!$C$5:$C$124)/100000,9^9),4),IF((Assignments!$C$5:$C$124&lt;&gt;"")*(Assignments!$I$5:$I$124=""),Assignments!$C$5:$C$124+ROW(Assignments!$C$5:$C$124)/100000,9^9),0)+4),"")</f>
        <v/>
      </c>
      <c r="D12" s="23">
        <f>IFERROR(IF(INDEX(Assignments!$C:$C,MATCH(SMALL(IF((Assignments!$C$5:$C$124&lt;&gt;"")*(Assignments!$I$5:$I$124=""),Assignments!$C$5:$C$124+ROW(Assignments!$C$5:$C$124)/100000,9^9),4),IF((Assignments!$C$5:$C$124&lt;&gt;"")*(Assignments!$I$5:$I$124=""),Assignments!$C$5:$C$124+ROW(Assignments!$C$5:$C$124)/100000,9^9),0)+4)="","",INDEX(Assignments!$C:$C,MATCH(SMALL(IF((Assignments!$C$5:$C$124&lt;&gt;"")*(Assignments!$I$5:$I$124=""),Assignments!$C$5:$C$124+ROW(Assignments!$C$5:$C$124)/100000,9^9),4),IF((Assignments!$C$5:$C$124&lt;&gt;"")*(Assignments!$I$5:$I$124=""),Assignments!$C$5:$C$124+ROW(Assignments!$C$5:$C$124)/100000,9^9),0)+4)-TODAY()),"")</f>
        <v/>
      </c>
      <c r="E12" s="10">
        <f>IFERROR(INDEX(Assignments!$G:$G,MATCH(SMALL(IF((Assignments!$C$5:$C$124&lt;&gt;"")*(Assignments!$I$5:$I$124=""),Assignments!$C$5:$C$124+ROW(Assignments!$C$5:$C$124)/100000,9^9),4),IF((Assignments!$C$5:$C$124&lt;&gt;"")*(Assignments!$I$5:$I$124=""),Assignments!$C$5:$C$124+ROW(Assignments!$C$5:$C$124)/100000,9^9),0)+4),"")</f>
        <v/>
      </c>
      <c r="F12" s="22">
        <f>IFERROR(INDEX(Assignments!$E:$E,MATCH(SMALL(IF((Assignments!$C$5:$C$124&lt;&gt;"")*(Assignments!$I$5:$I$124=""),Assignments!$C$5:$C$124+ROW(Assignments!$C$5:$C$124)/100000,9^9),4),IF((Assignments!$C$5:$C$124&lt;&gt;"")*(Assignments!$I$5:$I$124=""),Assignments!$C$5:$C$124+ROW(Assignments!$C$5:$C$124)/100000,9^9),0)+4),"")</f>
        <v/>
      </c>
      <c r="G12" s="22">
        <f>IFERROR(INDEX(Assignments!$F:$F,MATCH(SMALL(IF((Assignments!$C$5:$C$124&lt;&gt;"")*(Assignments!$I$5:$I$124=""),Assignments!$C$5:$C$124+ROW(Assignments!$C$5:$C$124)/100000,9^9),4),IF((Assignments!$C$5:$C$124&lt;&gt;"")*(Assignments!$I$5:$I$124=""),Assignments!$C$5:$C$124+ROW(Assignments!$C$5:$C$124)/100000,9^9),0)+4),"")</f>
        <v/>
      </c>
      <c r="H12" s="22">
        <f>IFERROR(INDEX(Assignments!$N:$N,MATCH(SMALL(IF((Assignments!$C$5:$C$124&lt;&gt;"")*(Assignments!$I$5:$I$124=""),Assignments!$C$5:$C$124+ROW(Assignments!$C$5:$C$124)/100000,9^9),4),IF((Assignments!$C$5:$C$124&lt;&gt;"")*(Assignments!$I$5:$I$124=""),Assignments!$C$5:$C$124+ROW(Assignments!$C$5:$C$124)/100000,9^9),0)+4),"")</f>
        <v/>
      </c>
    </row>
    <row r="13">
      <c r="B13" s="16" t="n">
        <v>5</v>
      </c>
      <c r="C13" s="15">
        <f>IFERROR(INDEX(Assignments!$C:$C,MATCH(SMALL(IF((Assignments!$C$5:$C$124&lt;&gt;"")*(Assignments!$I$5:$I$124=""),Assignments!$C$5:$C$124+ROW(Assignments!$C$5:$C$124)/100000,9^9),5),IF((Assignments!$C$5:$C$124&lt;&gt;"")*(Assignments!$I$5:$I$124=""),Assignments!$C$5:$C$124+ROW(Assignments!$C$5:$C$124)/100000,9^9),0)+4),"")</f>
        <v/>
      </c>
      <c r="D13" s="17">
        <f>IFERROR(IF(INDEX(Assignments!$C:$C,MATCH(SMALL(IF((Assignments!$C$5:$C$124&lt;&gt;"")*(Assignments!$I$5:$I$124=""),Assignments!$C$5:$C$124+ROW(Assignments!$C$5:$C$124)/100000,9^9),5),IF((Assignments!$C$5:$C$124&lt;&gt;"")*(Assignments!$I$5:$I$124=""),Assignments!$C$5:$C$124+ROW(Assignments!$C$5:$C$124)/100000,9^9),0)+4)="","",INDEX(Assignments!$C:$C,MATCH(SMALL(IF((Assignments!$C$5:$C$124&lt;&gt;"")*(Assignments!$I$5:$I$124=""),Assignments!$C$5:$C$124+ROW(Assignments!$C$5:$C$124)/100000,9^9),5),IF((Assignments!$C$5:$C$124&lt;&gt;"")*(Assignments!$I$5:$I$124=""),Assignments!$C$5:$C$124+ROW(Assignments!$C$5:$C$124)/100000,9^9),0)+4)-TODAY()),"")</f>
        <v/>
      </c>
      <c r="E13" s="8">
        <f>IFERROR(INDEX(Assignments!$G:$G,MATCH(SMALL(IF((Assignments!$C$5:$C$124&lt;&gt;"")*(Assignments!$I$5:$I$124=""),Assignments!$C$5:$C$124+ROW(Assignments!$C$5:$C$124)/100000,9^9),5),IF((Assignments!$C$5:$C$124&lt;&gt;"")*(Assignments!$I$5:$I$124=""),Assignments!$C$5:$C$124+ROW(Assignments!$C$5:$C$124)/100000,9^9),0)+4),"")</f>
        <v/>
      </c>
      <c r="F13" s="16">
        <f>IFERROR(INDEX(Assignments!$E:$E,MATCH(SMALL(IF((Assignments!$C$5:$C$124&lt;&gt;"")*(Assignments!$I$5:$I$124=""),Assignments!$C$5:$C$124+ROW(Assignments!$C$5:$C$124)/100000,9^9),5),IF((Assignments!$C$5:$C$124&lt;&gt;"")*(Assignments!$I$5:$I$124=""),Assignments!$C$5:$C$124+ROW(Assignments!$C$5:$C$124)/100000,9^9),0)+4),"")</f>
        <v/>
      </c>
      <c r="G13" s="16">
        <f>IFERROR(INDEX(Assignments!$F:$F,MATCH(SMALL(IF((Assignments!$C$5:$C$124&lt;&gt;"")*(Assignments!$I$5:$I$124=""),Assignments!$C$5:$C$124+ROW(Assignments!$C$5:$C$124)/100000,9^9),5),IF((Assignments!$C$5:$C$124&lt;&gt;"")*(Assignments!$I$5:$I$124=""),Assignments!$C$5:$C$124+ROW(Assignments!$C$5:$C$124)/100000,9^9),0)+4),"")</f>
        <v/>
      </c>
      <c r="H13" s="16">
        <f>IFERROR(INDEX(Assignments!$N:$N,MATCH(SMALL(IF((Assignments!$C$5:$C$124&lt;&gt;"")*(Assignments!$I$5:$I$124=""),Assignments!$C$5:$C$124+ROW(Assignments!$C$5:$C$124)/100000,9^9),5),IF((Assignments!$C$5:$C$124&lt;&gt;"")*(Assignments!$I$5:$I$124=""),Assignments!$C$5:$C$124+ROW(Assignments!$C$5:$C$124)/100000,9^9),0)+4),"")</f>
        <v/>
      </c>
    </row>
    <row r="14">
      <c r="B14" s="22" t="n">
        <v>6</v>
      </c>
      <c r="C14" s="21">
        <f>IFERROR(INDEX(Assignments!$C:$C,MATCH(SMALL(IF((Assignments!$C$5:$C$124&lt;&gt;"")*(Assignments!$I$5:$I$124=""),Assignments!$C$5:$C$124+ROW(Assignments!$C$5:$C$124)/100000,9^9),6),IF((Assignments!$C$5:$C$124&lt;&gt;"")*(Assignments!$I$5:$I$124=""),Assignments!$C$5:$C$124+ROW(Assignments!$C$5:$C$124)/100000,9^9),0)+4),"")</f>
        <v/>
      </c>
      <c r="D14" s="23">
        <f>IFERROR(IF(INDEX(Assignments!$C:$C,MATCH(SMALL(IF((Assignments!$C$5:$C$124&lt;&gt;"")*(Assignments!$I$5:$I$124=""),Assignments!$C$5:$C$124+ROW(Assignments!$C$5:$C$124)/100000,9^9),6),IF((Assignments!$C$5:$C$124&lt;&gt;"")*(Assignments!$I$5:$I$124=""),Assignments!$C$5:$C$124+ROW(Assignments!$C$5:$C$124)/100000,9^9),0)+4)="","",INDEX(Assignments!$C:$C,MATCH(SMALL(IF((Assignments!$C$5:$C$124&lt;&gt;"")*(Assignments!$I$5:$I$124=""),Assignments!$C$5:$C$124+ROW(Assignments!$C$5:$C$124)/100000,9^9),6),IF((Assignments!$C$5:$C$124&lt;&gt;"")*(Assignments!$I$5:$I$124=""),Assignments!$C$5:$C$124+ROW(Assignments!$C$5:$C$124)/100000,9^9),0)+4)-TODAY()),"")</f>
        <v/>
      </c>
      <c r="E14" s="10">
        <f>IFERROR(INDEX(Assignments!$G:$G,MATCH(SMALL(IF((Assignments!$C$5:$C$124&lt;&gt;"")*(Assignments!$I$5:$I$124=""),Assignments!$C$5:$C$124+ROW(Assignments!$C$5:$C$124)/100000,9^9),6),IF((Assignments!$C$5:$C$124&lt;&gt;"")*(Assignments!$I$5:$I$124=""),Assignments!$C$5:$C$124+ROW(Assignments!$C$5:$C$124)/100000,9^9),0)+4),"")</f>
        <v/>
      </c>
      <c r="F14" s="22">
        <f>IFERROR(INDEX(Assignments!$E:$E,MATCH(SMALL(IF((Assignments!$C$5:$C$124&lt;&gt;"")*(Assignments!$I$5:$I$124=""),Assignments!$C$5:$C$124+ROW(Assignments!$C$5:$C$124)/100000,9^9),6),IF((Assignments!$C$5:$C$124&lt;&gt;"")*(Assignments!$I$5:$I$124=""),Assignments!$C$5:$C$124+ROW(Assignments!$C$5:$C$124)/100000,9^9),0)+4),"")</f>
        <v/>
      </c>
      <c r="G14" s="22">
        <f>IFERROR(INDEX(Assignments!$F:$F,MATCH(SMALL(IF((Assignments!$C$5:$C$124&lt;&gt;"")*(Assignments!$I$5:$I$124=""),Assignments!$C$5:$C$124+ROW(Assignments!$C$5:$C$124)/100000,9^9),6),IF((Assignments!$C$5:$C$124&lt;&gt;"")*(Assignments!$I$5:$I$124=""),Assignments!$C$5:$C$124+ROW(Assignments!$C$5:$C$124)/100000,9^9),0)+4),"")</f>
        <v/>
      </c>
      <c r="H14" s="22">
        <f>IFERROR(INDEX(Assignments!$N:$N,MATCH(SMALL(IF((Assignments!$C$5:$C$124&lt;&gt;"")*(Assignments!$I$5:$I$124=""),Assignments!$C$5:$C$124+ROW(Assignments!$C$5:$C$124)/100000,9^9),6),IF((Assignments!$C$5:$C$124&lt;&gt;"")*(Assignments!$I$5:$I$124=""),Assignments!$C$5:$C$124+ROW(Assignments!$C$5:$C$124)/100000,9^9),0)+4),"")</f>
        <v/>
      </c>
    </row>
    <row r="15">
      <c r="B15" s="16" t="n">
        <v>7</v>
      </c>
      <c r="C15" s="15">
        <f>IFERROR(INDEX(Assignments!$C:$C,MATCH(SMALL(IF((Assignments!$C$5:$C$124&lt;&gt;"")*(Assignments!$I$5:$I$124=""),Assignments!$C$5:$C$124+ROW(Assignments!$C$5:$C$124)/100000,9^9),7),IF((Assignments!$C$5:$C$124&lt;&gt;"")*(Assignments!$I$5:$I$124=""),Assignments!$C$5:$C$124+ROW(Assignments!$C$5:$C$124)/100000,9^9),0)+4),"")</f>
        <v/>
      </c>
      <c r="D15" s="17">
        <f>IFERROR(IF(INDEX(Assignments!$C:$C,MATCH(SMALL(IF((Assignments!$C$5:$C$124&lt;&gt;"")*(Assignments!$I$5:$I$124=""),Assignments!$C$5:$C$124+ROW(Assignments!$C$5:$C$124)/100000,9^9),7),IF((Assignments!$C$5:$C$124&lt;&gt;"")*(Assignments!$I$5:$I$124=""),Assignments!$C$5:$C$124+ROW(Assignments!$C$5:$C$124)/100000,9^9),0)+4)="","",INDEX(Assignments!$C:$C,MATCH(SMALL(IF((Assignments!$C$5:$C$124&lt;&gt;"")*(Assignments!$I$5:$I$124=""),Assignments!$C$5:$C$124+ROW(Assignments!$C$5:$C$124)/100000,9^9),7),IF((Assignments!$C$5:$C$124&lt;&gt;"")*(Assignments!$I$5:$I$124=""),Assignments!$C$5:$C$124+ROW(Assignments!$C$5:$C$124)/100000,9^9),0)+4)-TODAY()),"")</f>
        <v/>
      </c>
      <c r="E15" s="8">
        <f>IFERROR(INDEX(Assignments!$G:$G,MATCH(SMALL(IF((Assignments!$C$5:$C$124&lt;&gt;"")*(Assignments!$I$5:$I$124=""),Assignments!$C$5:$C$124+ROW(Assignments!$C$5:$C$124)/100000,9^9),7),IF((Assignments!$C$5:$C$124&lt;&gt;"")*(Assignments!$I$5:$I$124=""),Assignments!$C$5:$C$124+ROW(Assignments!$C$5:$C$124)/100000,9^9),0)+4),"")</f>
        <v/>
      </c>
      <c r="F15" s="16">
        <f>IFERROR(INDEX(Assignments!$E:$E,MATCH(SMALL(IF((Assignments!$C$5:$C$124&lt;&gt;"")*(Assignments!$I$5:$I$124=""),Assignments!$C$5:$C$124+ROW(Assignments!$C$5:$C$124)/100000,9^9),7),IF((Assignments!$C$5:$C$124&lt;&gt;"")*(Assignments!$I$5:$I$124=""),Assignments!$C$5:$C$124+ROW(Assignments!$C$5:$C$124)/100000,9^9),0)+4),"")</f>
        <v/>
      </c>
      <c r="G15" s="16">
        <f>IFERROR(INDEX(Assignments!$F:$F,MATCH(SMALL(IF((Assignments!$C$5:$C$124&lt;&gt;"")*(Assignments!$I$5:$I$124=""),Assignments!$C$5:$C$124+ROW(Assignments!$C$5:$C$124)/100000,9^9),7),IF((Assignments!$C$5:$C$124&lt;&gt;"")*(Assignments!$I$5:$I$124=""),Assignments!$C$5:$C$124+ROW(Assignments!$C$5:$C$124)/100000,9^9),0)+4),"")</f>
        <v/>
      </c>
      <c r="H15" s="16">
        <f>IFERROR(INDEX(Assignments!$N:$N,MATCH(SMALL(IF((Assignments!$C$5:$C$124&lt;&gt;"")*(Assignments!$I$5:$I$124=""),Assignments!$C$5:$C$124+ROW(Assignments!$C$5:$C$124)/100000,9^9),7),IF((Assignments!$C$5:$C$124&lt;&gt;"")*(Assignments!$I$5:$I$124=""),Assignments!$C$5:$C$124+ROW(Assignments!$C$5:$C$124)/100000,9^9),0)+4),"")</f>
        <v/>
      </c>
    </row>
    <row r="16">
      <c r="B16" s="22" t="n">
        <v>8</v>
      </c>
      <c r="C16" s="21">
        <f>IFERROR(INDEX(Assignments!$C:$C,MATCH(SMALL(IF((Assignments!$C$5:$C$124&lt;&gt;"")*(Assignments!$I$5:$I$124=""),Assignments!$C$5:$C$124+ROW(Assignments!$C$5:$C$124)/100000,9^9),8),IF((Assignments!$C$5:$C$124&lt;&gt;"")*(Assignments!$I$5:$I$124=""),Assignments!$C$5:$C$124+ROW(Assignments!$C$5:$C$124)/100000,9^9),0)+4),"")</f>
        <v/>
      </c>
      <c r="D16" s="23">
        <f>IFERROR(IF(INDEX(Assignments!$C:$C,MATCH(SMALL(IF((Assignments!$C$5:$C$124&lt;&gt;"")*(Assignments!$I$5:$I$124=""),Assignments!$C$5:$C$124+ROW(Assignments!$C$5:$C$124)/100000,9^9),8),IF((Assignments!$C$5:$C$124&lt;&gt;"")*(Assignments!$I$5:$I$124=""),Assignments!$C$5:$C$124+ROW(Assignments!$C$5:$C$124)/100000,9^9),0)+4)="","",INDEX(Assignments!$C:$C,MATCH(SMALL(IF((Assignments!$C$5:$C$124&lt;&gt;"")*(Assignments!$I$5:$I$124=""),Assignments!$C$5:$C$124+ROW(Assignments!$C$5:$C$124)/100000,9^9),8),IF((Assignments!$C$5:$C$124&lt;&gt;"")*(Assignments!$I$5:$I$124=""),Assignments!$C$5:$C$124+ROW(Assignments!$C$5:$C$124)/100000,9^9),0)+4)-TODAY()),"")</f>
        <v/>
      </c>
      <c r="E16" s="10">
        <f>IFERROR(INDEX(Assignments!$G:$G,MATCH(SMALL(IF((Assignments!$C$5:$C$124&lt;&gt;"")*(Assignments!$I$5:$I$124=""),Assignments!$C$5:$C$124+ROW(Assignments!$C$5:$C$124)/100000,9^9),8),IF((Assignments!$C$5:$C$124&lt;&gt;"")*(Assignments!$I$5:$I$124=""),Assignments!$C$5:$C$124+ROW(Assignments!$C$5:$C$124)/100000,9^9),0)+4),"")</f>
        <v/>
      </c>
      <c r="F16" s="22">
        <f>IFERROR(INDEX(Assignments!$E:$E,MATCH(SMALL(IF((Assignments!$C$5:$C$124&lt;&gt;"")*(Assignments!$I$5:$I$124=""),Assignments!$C$5:$C$124+ROW(Assignments!$C$5:$C$124)/100000,9^9),8),IF((Assignments!$C$5:$C$124&lt;&gt;"")*(Assignments!$I$5:$I$124=""),Assignments!$C$5:$C$124+ROW(Assignments!$C$5:$C$124)/100000,9^9),0)+4),"")</f>
        <v/>
      </c>
      <c r="G16" s="22">
        <f>IFERROR(INDEX(Assignments!$F:$F,MATCH(SMALL(IF((Assignments!$C$5:$C$124&lt;&gt;"")*(Assignments!$I$5:$I$124=""),Assignments!$C$5:$C$124+ROW(Assignments!$C$5:$C$124)/100000,9^9),8),IF((Assignments!$C$5:$C$124&lt;&gt;"")*(Assignments!$I$5:$I$124=""),Assignments!$C$5:$C$124+ROW(Assignments!$C$5:$C$124)/100000,9^9),0)+4),"")</f>
        <v/>
      </c>
      <c r="H16" s="22">
        <f>IFERROR(INDEX(Assignments!$N:$N,MATCH(SMALL(IF((Assignments!$C$5:$C$124&lt;&gt;"")*(Assignments!$I$5:$I$124=""),Assignments!$C$5:$C$124+ROW(Assignments!$C$5:$C$124)/100000,9^9),8),IF((Assignments!$C$5:$C$124&lt;&gt;"")*(Assignments!$I$5:$I$124=""),Assignments!$C$5:$C$124+ROW(Assignments!$C$5:$C$124)/100000,9^9),0)+4),"")</f>
        <v/>
      </c>
    </row>
    <row r="17">
      <c r="B17" s="16" t="n">
        <v>9</v>
      </c>
      <c r="C17" s="15">
        <f>IFERROR(INDEX(Assignments!$C:$C,MATCH(SMALL(IF((Assignments!$C$5:$C$124&lt;&gt;"")*(Assignments!$I$5:$I$124=""),Assignments!$C$5:$C$124+ROW(Assignments!$C$5:$C$124)/100000,9^9),9),IF((Assignments!$C$5:$C$124&lt;&gt;"")*(Assignments!$I$5:$I$124=""),Assignments!$C$5:$C$124+ROW(Assignments!$C$5:$C$124)/100000,9^9),0)+4),"")</f>
        <v/>
      </c>
      <c r="D17" s="17">
        <f>IFERROR(IF(INDEX(Assignments!$C:$C,MATCH(SMALL(IF((Assignments!$C$5:$C$124&lt;&gt;"")*(Assignments!$I$5:$I$124=""),Assignments!$C$5:$C$124+ROW(Assignments!$C$5:$C$124)/100000,9^9),9),IF((Assignments!$C$5:$C$124&lt;&gt;"")*(Assignments!$I$5:$I$124=""),Assignments!$C$5:$C$124+ROW(Assignments!$C$5:$C$124)/100000,9^9),0)+4)="","",INDEX(Assignments!$C:$C,MATCH(SMALL(IF((Assignments!$C$5:$C$124&lt;&gt;"")*(Assignments!$I$5:$I$124=""),Assignments!$C$5:$C$124+ROW(Assignments!$C$5:$C$124)/100000,9^9),9),IF((Assignments!$C$5:$C$124&lt;&gt;"")*(Assignments!$I$5:$I$124=""),Assignments!$C$5:$C$124+ROW(Assignments!$C$5:$C$124)/100000,9^9),0)+4)-TODAY()),"")</f>
        <v/>
      </c>
      <c r="E17" s="8">
        <f>IFERROR(INDEX(Assignments!$G:$G,MATCH(SMALL(IF((Assignments!$C$5:$C$124&lt;&gt;"")*(Assignments!$I$5:$I$124=""),Assignments!$C$5:$C$124+ROW(Assignments!$C$5:$C$124)/100000,9^9),9),IF((Assignments!$C$5:$C$124&lt;&gt;"")*(Assignments!$I$5:$I$124=""),Assignments!$C$5:$C$124+ROW(Assignments!$C$5:$C$124)/100000,9^9),0)+4),"")</f>
        <v/>
      </c>
      <c r="F17" s="16">
        <f>IFERROR(INDEX(Assignments!$E:$E,MATCH(SMALL(IF((Assignments!$C$5:$C$124&lt;&gt;"")*(Assignments!$I$5:$I$124=""),Assignments!$C$5:$C$124+ROW(Assignments!$C$5:$C$124)/100000,9^9),9),IF((Assignments!$C$5:$C$124&lt;&gt;"")*(Assignments!$I$5:$I$124=""),Assignments!$C$5:$C$124+ROW(Assignments!$C$5:$C$124)/100000,9^9),0)+4),"")</f>
        <v/>
      </c>
      <c r="G17" s="16">
        <f>IFERROR(INDEX(Assignments!$F:$F,MATCH(SMALL(IF((Assignments!$C$5:$C$124&lt;&gt;"")*(Assignments!$I$5:$I$124=""),Assignments!$C$5:$C$124+ROW(Assignments!$C$5:$C$124)/100000,9^9),9),IF((Assignments!$C$5:$C$124&lt;&gt;"")*(Assignments!$I$5:$I$124=""),Assignments!$C$5:$C$124+ROW(Assignments!$C$5:$C$124)/100000,9^9),0)+4),"")</f>
        <v/>
      </c>
      <c r="H17" s="16">
        <f>IFERROR(INDEX(Assignments!$N:$N,MATCH(SMALL(IF((Assignments!$C$5:$C$124&lt;&gt;"")*(Assignments!$I$5:$I$124=""),Assignments!$C$5:$C$124+ROW(Assignments!$C$5:$C$124)/100000,9^9),9),IF((Assignments!$C$5:$C$124&lt;&gt;"")*(Assignments!$I$5:$I$124=""),Assignments!$C$5:$C$124+ROW(Assignments!$C$5:$C$124)/100000,9^9),0)+4),"")</f>
        <v/>
      </c>
    </row>
    <row r="18">
      <c r="B18" s="22" t="n">
        <v>10</v>
      </c>
      <c r="C18" s="21">
        <f>IFERROR(INDEX(Assignments!$C:$C,MATCH(SMALL(IF((Assignments!$C$5:$C$124&lt;&gt;"")*(Assignments!$I$5:$I$124=""),Assignments!$C$5:$C$124+ROW(Assignments!$C$5:$C$124)/100000,9^9),10),IF((Assignments!$C$5:$C$124&lt;&gt;"")*(Assignments!$I$5:$I$124=""),Assignments!$C$5:$C$124+ROW(Assignments!$C$5:$C$124)/100000,9^9),0)+4),"")</f>
        <v/>
      </c>
      <c r="D18" s="23">
        <f>IFERROR(IF(INDEX(Assignments!$C:$C,MATCH(SMALL(IF((Assignments!$C$5:$C$124&lt;&gt;"")*(Assignments!$I$5:$I$124=""),Assignments!$C$5:$C$124+ROW(Assignments!$C$5:$C$124)/100000,9^9),10),IF((Assignments!$C$5:$C$124&lt;&gt;"")*(Assignments!$I$5:$I$124=""),Assignments!$C$5:$C$124+ROW(Assignments!$C$5:$C$124)/100000,9^9),0)+4)="","",INDEX(Assignments!$C:$C,MATCH(SMALL(IF((Assignments!$C$5:$C$124&lt;&gt;"")*(Assignments!$I$5:$I$124=""),Assignments!$C$5:$C$124+ROW(Assignments!$C$5:$C$124)/100000,9^9),10),IF((Assignments!$C$5:$C$124&lt;&gt;"")*(Assignments!$I$5:$I$124=""),Assignments!$C$5:$C$124+ROW(Assignments!$C$5:$C$124)/100000,9^9),0)+4)-TODAY()),"")</f>
        <v/>
      </c>
      <c r="E18" s="10">
        <f>IFERROR(INDEX(Assignments!$G:$G,MATCH(SMALL(IF((Assignments!$C$5:$C$124&lt;&gt;"")*(Assignments!$I$5:$I$124=""),Assignments!$C$5:$C$124+ROW(Assignments!$C$5:$C$124)/100000,9^9),10),IF((Assignments!$C$5:$C$124&lt;&gt;"")*(Assignments!$I$5:$I$124=""),Assignments!$C$5:$C$124+ROW(Assignments!$C$5:$C$124)/100000,9^9),0)+4),"")</f>
        <v/>
      </c>
      <c r="F18" s="22">
        <f>IFERROR(INDEX(Assignments!$E:$E,MATCH(SMALL(IF((Assignments!$C$5:$C$124&lt;&gt;"")*(Assignments!$I$5:$I$124=""),Assignments!$C$5:$C$124+ROW(Assignments!$C$5:$C$124)/100000,9^9),10),IF((Assignments!$C$5:$C$124&lt;&gt;"")*(Assignments!$I$5:$I$124=""),Assignments!$C$5:$C$124+ROW(Assignments!$C$5:$C$124)/100000,9^9),0)+4),"")</f>
        <v/>
      </c>
      <c r="G18" s="22">
        <f>IFERROR(INDEX(Assignments!$F:$F,MATCH(SMALL(IF((Assignments!$C$5:$C$124&lt;&gt;"")*(Assignments!$I$5:$I$124=""),Assignments!$C$5:$C$124+ROW(Assignments!$C$5:$C$124)/100000,9^9),10),IF((Assignments!$C$5:$C$124&lt;&gt;"")*(Assignments!$I$5:$I$124=""),Assignments!$C$5:$C$124+ROW(Assignments!$C$5:$C$124)/100000,9^9),0)+4),"")</f>
        <v/>
      </c>
      <c r="H18" s="22">
        <f>IFERROR(INDEX(Assignments!$N:$N,MATCH(SMALL(IF((Assignments!$C$5:$C$124&lt;&gt;"")*(Assignments!$I$5:$I$124=""),Assignments!$C$5:$C$124+ROW(Assignments!$C$5:$C$124)/100000,9^9),10),IF((Assignments!$C$5:$C$124&lt;&gt;"")*(Assignments!$I$5:$I$124=""),Assignments!$C$5:$C$124+ROW(Assignments!$C$5:$C$124)/100000,9^9),0)+4),"")</f>
        <v/>
      </c>
    </row>
    <row r="19">
      <c r="B19" s="16" t="n">
        <v>11</v>
      </c>
      <c r="C19" s="15">
        <f>IFERROR(INDEX(Assignments!$C:$C,MATCH(SMALL(IF((Assignments!$C$5:$C$124&lt;&gt;"")*(Assignments!$I$5:$I$124=""),Assignments!$C$5:$C$124+ROW(Assignments!$C$5:$C$124)/100000,9^9),11),IF((Assignments!$C$5:$C$124&lt;&gt;"")*(Assignments!$I$5:$I$124=""),Assignments!$C$5:$C$124+ROW(Assignments!$C$5:$C$124)/100000,9^9),0)+4),"")</f>
        <v/>
      </c>
      <c r="D19" s="17">
        <f>IFERROR(IF(INDEX(Assignments!$C:$C,MATCH(SMALL(IF((Assignments!$C$5:$C$124&lt;&gt;"")*(Assignments!$I$5:$I$124=""),Assignments!$C$5:$C$124+ROW(Assignments!$C$5:$C$124)/100000,9^9),11),IF((Assignments!$C$5:$C$124&lt;&gt;"")*(Assignments!$I$5:$I$124=""),Assignments!$C$5:$C$124+ROW(Assignments!$C$5:$C$124)/100000,9^9),0)+4)="","",INDEX(Assignments!$C:$C,MATCH(SMALL(IF((Assignments!$C$5:$C$124&lt;&gt;"")*(Assignments!$I$5:$I$124=""),Assignments!$C$5:$C$124+ROW(Assignments!$C$5:$C$124)/100000,9^9),11),IF((Assignments!$C$5:$C$124&lt;&gt;"")*(Assignments!$I$5:$I$124=""),Assignments!$C$5:$C$124+ROW(Assignments!$C$5:$C$124)/100000,9^9),0)+4)-TODAY()),"")</f>
        <v/>
      </c>
      <c r="E19" s="8">
        <f>IFERROR(INDEX(Assignments!$G:$G,MATCH(SMALL(IF((Assignments!$C$5:$C$124&lt;&gt;"")*(Assignments!$I$5:$I$124=""),Assignments!$C$5:$C$124+ROW(Assignments!$C$5:$C$124)/100000,9^9),11),IF((Assignments!$C$5:$C$124&lt;&gt;"")*(Assignments!$I$5:$I$124=""),Assignments!$C$5:$C$124+ROW(Assignments!$C$5:$C$124)/100000,9^9),0)+4),"")</f>
        <v/>
      </c>
      <c r="F19" s="16">
        <f>IFERROR(INDEX(Assignments!$E:$E,MATCH(SMALL(IF((Assignments!$C$5:$C$124&lt;&gt;"")*(Assignments!$I$5:$I$124=""),Assignments!$C$5:$C$124+ROW(Assignments!$C$5:$C$124)/100000,9^9),11),IF((Assignments!$C$5:$C$124&lt;&gt;"")*(Assignments!$I$5:$I$124=""),Assignments!$C$5:$C$124+ROW(Assignments!$C$5:$C$124)/100000,9^9),0)+4),"")</f>
        <v/>
      </c>
      <c r="G19" s="16">
        <f>IFERROR(INDEX(Assignments!$F:$F,MATCH(SMALL(IF((Assignments!$C$5:$C$124&lt;&gt;"")*(Assignments!$I$5:$I$124=""),Assignments!$C$5:$C$124+ROW(Assignments!$C$5:$C$124)/100000,9^9),11),IF((Assignments!$C$5:$C$124&lt;&gt;"")*(Assignments!$I$5:$I$124=""),Assignments!$C$5:$C$124+ROW(Assignments!$C$5:$C$124)/100000,9^9),0)+4),"")</f>
        <v/>
      </c>
      <c r="H19" s="16">
        <f>IFERROR(INDEX(Assignments!$N:$N,MATCH(SMALL(IF((Assignments!$C$5:$C$124&lt;&gt;"")*(Assignments!$I$5:$I$124=""),Assignments!$C$5:$C$124+ROW(Assignments!$C$5:$C$124)/100000,9^9),11),IF((Assignments!$C$5:$C$124&lt;&gt;"")*(Assignments!$I$5:$I$124=""),Assignments!$C$5:$C$124+ROW(Assignments!$C$5:$C$124)/100000,9^9),0)+4),"")</f>
        <v/>
      </c>
    </row>
    <row r="20">
      <c r="B20" s="22" t="n">
        <v>12</v>
      </c>
      <c r="C20" s="21">
        <f>IFERROR(INDEX(Assignments!$C:$C,MATCH(SMALL(IF((Assignments!$C$5:$C$124&lt;&gt;"")*(Assignments!$I$5:$I$124=""),Assignments!$C$5:$C$124+ROW(Assignments!$C$5:$C$124)/100000,9^9),12),IF((Assignments!$C$5:$C$124&lt;&gt;"")*(Assignments!$I$5:$I$124=""),Assignments!$C$5:$C$124+ROW(Assignments!$C$5:$C$124)/100000,9^9),0)+4),"")</f>
        <v/>
      </c>
      <c r="D20" s="23">
        <f>IFERROR(IF(INDEX(Assignments!$C:$C,MATCH(SMALL(IF((Assignments!$C$5:$C$124&lt;&gt;"")*(Assignments!$I$5:$I$124=""),Assignments!$C$5:$C$124+ROW(Assignments!$C$5:$C$124)/100000,9^9),12),IF((Assignments!$C$5:$C$124&lt;&gt;"")*(Assignments!$I$5:$I$124=""),Assignments!$C$5:$C$124+ROW(Assignments!$C$5:$C$124)/100000,9^9),0)+4)="","",INDEX(Assignments!$C:$C,MATCH(SMALL(IF((Assignments!$C$5:$C$124&lt;&gt;"")*(Assignments!$I$5:$I$124=""),Assignments!$C$5:$C$124+ROW(Assignments!$C$5:$C$124)/100000,9^9),12),IF((Assignments!$C$5:$C$124&lt;&gt;"")*(Assignments!$I$5:$I$124=""),Assignments!$C$5:$C$124+ROW(Assignments!$C$5:$C$124)/100000,9^9),0)+4)-TODAY()),"")</f>
        <v/>
      </c>
      <c r="E20" s="10">
        <f>IFERROR(INDEX(Assignments!$G:$G,MATCH(SMALL(IF((Assignments!$C$5:$C$124&lt;&gt;"")*(Assignments!$I$5:$I$124=""),Assignments!$C$5:$C$124+ROW(Assignments!$C$5:$C$124)/100000,9^9),12),IF((Assignments!$C$5:$C$124&lt;&gt;"")*(Assignments!$I$5:$I$124=""),Assignments!$C$5:$C$124+ROW(Assignments!$C$5:$C$124)/100000,9^9),0)+4),"")</f>
        <v/>
      </c>
      <c r="F20" s="22">
        <f>IFERROR(INDEX(Assignments!$E:$E,MATCH(SMALL(IF((Assignments!$C$5:$C$124&lt;&gt;"")*(Assignments!$I$5:$I$124=""),Assignments!$C$5:$C$124+ROW(Assignments!$C$5:$C$124)/100000,9^9),12),IF((Assignments!$C$5:$C$124&lt;&gt;"")*(Assignments!$I$5:$I$124=""),Assignments!$C$5:$C$124+ROW(Assignments!$C$5:$C$124)/100000,9^9),0)+4),"")</f>
        <v/>
      </c>
      <c r="G20" s="22">
        <f>IFERROR(INDEX(Assignments!$F:$F,MATCH(SMALL(IF((Assignments!$C$5:$C$124&lt;&gt;"")*(Assignments!$I$5:$I$124=""),Assignments!$C$5:$C$124+ROW(Assignments!$C$5:$C$124)/100000,9^9),12),IF((Assignments!$C$5:$C$124&lt;&gt;"")*(Assignments!$I$5:$I$124=""),Assignments!$C$5:$C$124+ROW(Assignments!$C$5:$C$124)/100000,9^9),0)+4),"")</f>
        <v/>
      </c>
      <c r="H20" s="22">
        <f>IFERROR(INDEX(Assignments!$N:$N,MATCH(SMALL(IF((Assignments!$C$5:$C$124&lt;&gt;"")*(Assignments!$I$5:$I$124=""),Assignments!$C$5:$C$124+ROW(Assignments!$C$5:$C$124)/100000,9^9),12),IF((Assignments!$C$5:$C$124&lt;&gt;"")*(Assignments!$I$5:$I$124=""),Assignments!$C$5:$C$124+ROW(Assignments!$C$5:$C$124)/100000,9^9),0)+4),"")</f>
        <v/>
      </c>
    </row>
    <row r="21">
      <c r="B21" s="16" t="n">
        <v>13</v>
      </c>
      <c r="C21" s="15">
        <f>IFERROR(INDEX(Assignments!$C:$C,MATCH(SMALL(IF((Assignments!$C$5:$C$124&lt;&gt;"")*(Assignments!$I$5:$I$124=""),Assignments!$C$5:$C$124+ROW(Assignments!$C$5:$C$124)/100000,9^9),13),IF((Assignments!$C$5:$C$124&lt;&gt;"")*(Assignments!$I$5:$I$124=""),Assignments!$C$5:$C$124+ROW(Assignments!$C$5:$C$124)/100000,9^9),0)+4),"")</f>
        <v/>
      </c>
      <c r="D21" s="17">
        <f>IFERROR(IF(INDEX(Assignments!$C:$C,MATCH(SMALL(IF((Assignments!$C$5:$C$124&lt;&gt;"")*(Assignments!$I$5:$I$124=""),Assignments!$C$5:$C$124+ROW(Assignments!$C$5:$C$124)/100000,9^9),13),IF((Assignments!$C$5:$C$124&lt;&gt;"")*(Assignments!$I$5:$I$124=""),Assignments!$C$5:$C$124+ROW(Assignments!$C$5:$C$124)/100000,9^9),0)+4)="","",INDEX(Assignments!$C:$C,MATCH(SMALL(IF((Assignments!$C$5:$C$124&lt;&gt;"")*(Assignments!$I$5:$I$124=""),Assignments!$C$5:$C$124+ROW(Assignments!$C$5:$C$124)/100000,9^9),13),IF((Assignments!$C$5:$C$124&lt;&gt;"")*(Assignments!$I$5:$I$124=""),Assignments!$C$5:$C$124+ROW(Assignments!$C$5:$C$124)/100000,9^9),0)+4)-TODAY()),"")</f>
        <v/>
      </c>
      <c r="E21" s="8">
        <f>IFERROR(INDEX(Assignments!$G:$G,MATCH(SMALL(IF((Assignments!$C$5:$C$124&lt;&gt;"")*(Assignments!$I$5:$I$124=""),Assignments!$C$5:$C$124+ROW(Assignments!$C$5:$C$124)/100000,9^9),13),IF((Assignments!$C$5:$C$124&lt;&gt;"")*(Assignments!$I$5:$I$124=""),Assignments!$C$5:$C$124+ROW(Assignments!$C$5:$C$124)/100000,9^9),0)+4),"")</f>
        <v/>
      </c>
      <c r="F21" s="16">
        <f>IFERROR(INDEX(Assignments!$E:$E,MATCH(SMALL(IF((Assignments!$C$5:$C$124&lt;&gt;"")*(Assignments!$I$5:$I$124=""),Assignments!$C$5:$C$124+ROW(Assignments!$C$5:$C$124)/100000,9^9),13),IF((Assignments!$C$5:$C$124&lt;&gt;"")*(Assignments!$I$5:$I$124=""),Assignments!$C$5:$C$124+ROW(Assignments!$C$5:$C$124)/100000,9^9),0)+4),"")</f>
        <v/>
      </c>
      <c r="G21" s="16">
        <f>IFERROR(INDEX(Assignments!$F:$F,MATCH(SMALL(IF((Assignments!$C$5:$C$124&lt;&gt;"")*(Assignments!$I$5:$I$124=""),Assignments!$C$5:$C$124+ROW(Assignments!$C$5:$C$124)/100000,9^9),13),IF((Assignments!$C$5:$C$124&lt;&gt;"")*(Assignments!$I$5:$I$124=""),Assignments!$C$5:$C$124+ROW(Assignments!$C$5:$C$124)/100000,9^9),0)+4),"")</f>
        <v/>
      </c>
      <c r="H21" s="16">
        <f>IFERROR(INDEX(Assignments!$N:$N,MATCH(SMALL(IF((Assignments!$C$5:$C$124&lt;&gt;"")*(Assignments!$I$5:$I$124=""),Assignments!$C$5:$C$124+ROW(Assignments!$C$5:$C$124)/100000,9^9),13),IF((Assignments!$C$5:$C$124&lt;&gt;"")*(Assignments!$I$5:$I$124=""),Assignments!$C$5:$C$124+ROW(Assignments!$C$5:$C$124)/100000,9^9),0)+4),"")</f>
        <v/>
      </c>
    </row>
    <row r="22">
      <c r="B22" s="22" t="n">
        <v>14</v>
      </c>
      <c r="C22" s="21">
        <f>IFERROR(INDEX(Assignments!$C:$C,MATCH(SMALL(IF((Assignments!$C$5:$C$124&lt;&gt;"")*(Assignments!$I$5:$I$124=""),Assignments!$C$5:$C$124+ROW(Assignments!$C$5:$C$124)/100000,9^9),14),IF((Assignments!$C$5:$C$124&lt;&gt;"")*(Assignments!$I$5:$I$124=""),Assignments!$C$5:$C$124+ROW(Assignments!$C$5:$C$124)/100000,9^9),0)+4),"")</f>
        <v/>
      </c>
      <c r="D22" s="23">
        <f>IFERROR(IF(INDEX(Assignments!$C:$C,MATCH(SMALL(IF((Assignments!$C$5:$C$124&lt;&gt;"")*(Assignments!$I$5:$I$124=""),Assignments!$C$5:$C$124+ROW(Assignments!$C$5:$C$124)/100000,9^9),14),IF((Assignments!$C$5:$C$124&lt;&gt;"")*(Assignments!$I$5:$I$124=""),Assignments!$C$5:$C$124+ROW(Assignments!$C$5:$C$124)/100000,9^9),0)+4)="","",INDEX(Assignments!$C:$C,MATCH(SMALL(IF((Assignments!$C$5:$C$124&lt;&gt;"")*(Assignments!$I$5:$I$124=""),Assignments!$C$5:$C$124+ROW(Assignments!$C$5:$C$124)/100000,9^9),14),IF((Assignments!$C$5:$C$124&lt;&gt;"")*(Assignments!$I$5:$I$124=""),Assignments!$C$5:$C$124+ROW(Assignments!$C$5:$C$124)/100000,9^9),0)+4)-TODAY()),"")</f>
        <v/>
      </c>
      <c r="E22" s="10">
        <f>IFERROR(INDEX(Assignments!$G:$G,MATCH(SMALL(IF((Assignments!$C$5:$C$124&lt;&gt;"")*(Assignments!$I$5:$I$124=""),Assignments!$C$5:$C$124+ROW(Assignments!$C$5:$C$124)/100000,9^9),14),IF((Assignments!$C$5:$C$124&lt;&gt;"")*(Assignments!$I$5:$I$124=""),Assignments!$C$5:$C$124+ROW(Assignments!$C$5:$C$124)/100000,9^9),0)+4),"")</f>
        <v/>
      </c>
      <c r="F22" s="22">
        <f>IFERROR(INDEX(Assignments!$E:$E,MATCH(SMALL(IF((Assignments!$C$5:$C$124&lt;&gt;"")*(Assignments!$I$5:$I$124=""),Assignments!$C$5:$C$124+ROW(Assignments!$C$5:$C$124)/100000,9^9),14),IF((Assignments!$C$5:$C$124&lt;&gt;"")*(Assignments!$I$5:$I$124=""),Assignments!$C$5:$C$124+ROW(Assignments!$C$5:$C$124)/100000,9^9),0)+4),"")</f>
        <v/>
      </c>
      <c r="G22" s="22">
        <f>IFERROR(INDEX(Assignments!$F:$F,MATCH(SMALL(IF((Assignments!$C$5:$C$124&lt;&gt;"")*(Assignments!$I$5:$I$124=""),Assignments!$C$5:$C$124+ROW(Assignments!$C$5:$C$124)/100000,9^9),14),IF((Assignments!$C$5:$C$124&lt;&gt;"")*(Assignments!$I$5:$I$124=""),Assignments!$C$5:$C$124+ROW(Assignments!$C$5:$C$124)/100000,9^9),0)+4),"")</f>
        <v/>
      </c>
      <c r="H22" s="22">
        <f>IFERROR(INDEX(Assignments!$N:$N,MATCH(SMALL(IF((Assignments!$C$5:$C$124&lt;&gt;"")*(Assignments!$I$5:$I$124=""),Assignments!$C$5:$C$124+ROW(Assignments!$C$5:$C$124)/100000,9^9),14),IF((Assignments!$C$5:$C$124&lt;&gt;"")*(Assignments!$I$5:$I$124=""),Assignments!$C$5:$C$124+ROW(Assignments!$C$5:$C$124)/100000,9^9),0)+4),"")</f>
        <v/>
      </c>
    </row>
    <row r="23">
      <c r="B23" s="16" t="n">
        <v>15</v>
      </c>
      <c r="C23" s="15">
        <f>IFERROR(INDEX(Assignments!$C:$C,MATCH(SMALL(IF((Assignments!$C$5:$C$124&lt;&gt;"")*(Assignments!$I$5:$I$124=""),Assignments!$C$5:$C$124+ROW(Assignments!$C$5:$C$124)/100000,9^9),15),IF((Assignments!$C$5:$C$124&lt;&gt;"")*(Assignments!$I$5:$I$124=""),Assignments!$C$5:$C$124+ROW(Assignments!$C$5:$C$124)/100000,9^9),0)+4),"")</f>
        <v/>
      </c>
      <c r="D23" s="17">
        <f>IFERROR(IF(INDEX(Assignments!$C:$C,MATCH(SMALL(IF((Assignments!$C$5:$C$124&lt;&gt;"")*(Assignments!$I$5:$I$124=""),Assignments!$C$5:$C$124+ROW(Assignments!$C$5:$C$124)/100000,9^9),15),IF((Assignments!$C$5:$C$124&lt;&gt;"")*(Assignments!$I$5:$I$124=""),Assignments!$C$5:$C$124+ROW(Assignments!$C$5:$C$124)/100000,9^9),0)+4)="","",INDEX(Assignments!$C:$C,MATCH(SMALL(IF((Assignments!$C$5:$C$124&lt;&gt;"")*(Assignments!$I$5:$I$124=""),Assignments!$C$5:$C$124+ROW(Assignments!$C$5:$C$124)/100000,9^9),15),IF((Assignments!$C$5:$C$124&lt;&gt;"")*(Assignments!$I$5:$I$124=""),Assignments!$C$5:$C$124+ROW(Assignments!$C$5:$C$124)/100000,9^9),0)+4)-TODAY()),"")</f>
        <v/>
      </c>
      <c r="E23" s="8">
        <f>IFERROR(INDEX(Assignments!$G:$G,MATCH(SMALL(IF((Assignments!$C$5:$C$124&lt;&gt;"")*(Assignments!$I$5:$I$124=""),Assignments!$C$5:$C$124+ROW(Assignments!$C$5:$C$124)/100000,9^9),15),IF((Assignments!$C$5:$C$124&lt;&gt;"")*(Assignments!$I$5:$I$124=""),Assignments!$C$5:$C$124+ROW(Assignments!$C$5:$C$124)/100000,9^9),0)+4),"")</f>
        <v/>
      </c>
      <c r="F23" s="16">
        <f>IFERROR(INDEX(Assignments!$E:$E,MATCH(SMALL(IF((Assignments!$C$5:$C$124&lt;&gt;"")*(Assignments!$I$5:$I$124=""),Assignments!$C$5:$C$124+ROW(Assignments!$C$5:$C$124)/100000,9^9),15),IF((Assignments!$C$5:$C$124&lt;&gt;"")*(Assignments!$I$5:$I$124=""),Assignments!$C$5:$C$124+ROW(Assignments!$C$5:$C$124)/100000,9^9),0)+4),"")</f>
        <v/>
      </c>
      <c r="G23" s="16">
        <f>IFERROR(INDEX(Assignments!$F:$F,MATCH(SMALL(IF((Assignments!$C$5:$C$124&lt;&gt;"")*(Assignments!$I$5:$I$124=""),Assignments!$C$5:$C$124+ROW(Assignments!$C$5:$C$124)/100000,9^9),15),IF((Assignments!$C$5:$C$124&lt;&gt;"")*(Assignments!$I$5:$I$124=""),Assignments!$C$5:$C$124+ROW(Assignments!$C$5:$C$124)/100000,9^9),0)+4),"")</f>
        <v/>
      </c>
      <c r="H23" s="16">
        <f>IFERROR(INDEX(Assignments!$N:$N,MATCH(SMALL(IF((Assignments!$C$5:$C$124&lt;&gt;"")*(Assignments!$I$5:$I$124=""),Assignments!$C$5:$C$124+ROW(Assignments!$C$5:$C$124)/100000,9^9),15),IF((Assignments!$C$5:$C$124&lt;&gt;"")*(Assignments!$I$5:$I$124=""),Assignments!$C$5:$C$124+ROW(Assignments!$C$5:$C$124)/100000,9^9),0)+4),"")</f>
        <v/>
      </c>
    </row>
    <row r="24">
      <c r="B24" s="22" t="n">
        <v>16</v>
      </c>
      <c r="C24" s="21">
        <f>IFERROR(INDEX(Assignments!$C:$C,MATCH(SMALL(IF((Assignments!$C$5:$C$124&lt;&gt;"")*(Assignments!$I$5:$I$124=""),Assignments!$C$5:$C$124+ROW(Assignments!$C$5:$C$124)/100000,9^9),16),IF((Assignments!$C$5:$C$124&lt;&gt;"")*(Assignments!$I$5:$I$124=""),Assignments!$C$5:$C$124+ROW(Assignments!$C$5:$C$124)/100000,9^9),0)+4),"")</f>
        <v/>
      </c>
      <c r="D24" s="23">
        <f>IFERROR(IF(INDEX(Assignments!$C:$C,MATCH(SMALL(IF((Assignments!$C$5:$C$124&lt;&gt;"")*(Assignments!$I$5:$I$124=""),Assignments!$C$5:$C$124+ROW(Assignments!$C$5:$C$124)/100000,9^9),16),IF((Assignments!$C$5:$C$124&lt;&gt;"")*(Assignments!$I$5:$I$124=""),Assignments!$C$5:$C$124+ROW(Assignments!$C$5:$C$124)/100000,9^9),0)+4)="","",INDEX(Assignments!$C:$C,MATCH(SMALL(IF((Assignments!$C$5:$C$124&lt;&gt;"")*(Assignments!$I$5:$I$124=""),Assignments!$C$5:$C$124+ROW(Assignments!$C$5:$C$124)/100000,9^9),16),IF((Assignments!$C$5:$C$124&lt;&gt;"")*(Assignments!$I$5:$I$124=""),Assignments!$C$5:$C$124+ROW(Assignments!$C$5:$C$124)/100000,9^9),0)+4)-TODAY()),"")</f>
        <v/>
      </c>
      <c r="E24" s="10">
        <f>IFERROR(INDEX(Assignments!$G:$G,MATCH(SMALL(IF((Assignments!$C$5:$C$124&lt;&gt;"")*(Assignments!$I$5:$I$124=""),Assignments!$C$5:$C$124+ROW(Assignments!$C$5:$C$124)/100000,9^9),16),IF((Assignments!$C$5:$C$124&lt;&gt;"")*(Assignments!$I$5:$I$124=""),Assignments!$C$5:$C$124+ROW(Assignments!$C$5:$C$124)/100000,9^9),0)+4),"")</f>
        <v/>
      </c>
      <c r="F24" s="22">
        <f>IFERROR(INDEX(Assignments!$E:$E,MATCH(SMALL(IF((Assignments!$C$5:$C$124&lt;&gt;"")*(Assignments!$I$5:$I$124=""),Assignments!$C$5:$C$124+ROW(Assignments!$C$5:$C$124)/100000,9^9),16),IF((Assignments!$C$5:$C$124&lt;&gt;"")*(Assignments!$I$5:$I$124=""),Assignments!$C$5:$C$124+ROW(Assignments!$C$5:$C$124)/100000,9^9),0)+4),"")</f>
        <v/>
      </c>
      <c r="G24" s="22">
        <f>IFERROR(INDEX(Assignments!$F:$F,MATCH(SMALL(IF((Assignments!$C$5:$C$124&lt;&gt;"")*(Assignments!$I$5:$I$124=""),Assignments!$C$5:$C$124+ROW(Assignments!$C$5:$C$124)/100000,9^9),16),IF((Assignments!$C$5:$C$124&lt;&gt;"")*(Assignments!$I$5:$I$124=""),Assignments!$C$5:$C$124+ROW(Assignments!$C$5:$C$124)/100000,9^9),0)+4),"")</f>
        <v/>
      </c>
      <c r="H24" s="22">
        <f>IFERROR(INDEX(Assignments!$N:$N,MATCH(SMALL(IF((Assignments!$C$5:$C$124&lt;&gt;"")*(Assignments!$I$5:$I$124=""),Assignments!$C$5:$C$124+ROW(Assignments!$C$5:$C$124)/100000,9^9),16),IF((Assignments!$C$5:$C$124&lt;&gt;"")*(Assignments!$I$5:$I$124=""),Assignments!$C$5:$C$124+ROW(Assignments!$C$5:$C$124)/100000,9^9),0)+4),"")</f>
        <v/>
      </c>
    </row>
    <row r="25">
      <c r="B25" s="16" t="n">
        <v>17</v>
      </c>
      <c r="C25" s="15">
        <f>IFERROR(INDEX(Assignments!$C:$C,MATCH(SMALL(IF((Assignments!$C$5:$C$124&lt;&gt;"")*(Assignments!$I$5:$I$124=""),Assignments!$C$5:$C$124+ROW(Assignments!$C$5:$C$124)/100000,9^9),17),IF((Assignments!$C$5:$C$124&lt;&gt;"")*(Assignments!$I$5:$I$124=""),Assignments!$C$5:$C$124+ROW(Assignments!$C$5:$C$124)/100000,9^9),0)+4),"")</f>
        <v/>
      </c>
      <c r="D25" s="17">
        <f>IFERROR(IF(INDEX(Assignments!$C:$C,MATCH(SMALL(IF((Assignments!$C$5:$C$124&lt;&gt;"")*(Assignments!$I$5:$I$124=""),Assignments!$C$5:$C$124+ROW(Assignments!$C$5:$C$124)/100000,9^9),17),IF((Assignments!$C$5:$C$124&lt;&gt;"")*(Assignments!$I$5:$I$124=""),Assignments!$C$5:$C$124+ROW(Assignments!$C$5:$C$124)/100000,9^9),0)+4)="","",INDEX(Assignments!$C:$C,MATCH(SMALL(IF((Assignments!$C$5:$C$124&lt;&gt;"")*(Assignments!$I$5:$I$124=""),Assignments!$C$5:$C$124+ROW(Assignments!$C$5:$C$124)/100000,9^9),17),IF((Assignments!$C$5:$C$124&lt;&gt;"")*(Assignments!$I$5:$I$124=""),Assignments!$C$5:$C$124+ROW(Assignments!$C$5:$C$124)/100000,9^9),0)+4)-TODAY()),"")</f>
        <v/>
      </c>
      <c r="E25" s="8">
        <f>IFERROR(INDEX(Assignments!$G:$G,MATCH(SMALL(IF((Assignments!$C$5:$C$124&lt;&gt;"")*(Assignments!$I$5:$I$124=""),Assignments!$C$5:$C$124+ROW(Assignments!$C$5:$C$124)/100000,9^9),17),IF((Assignments!$C$5:$C$124&lt;&gt;"")*(Assignments!$I$5:$I$124=""),Assignments!$C$5:$C$124+ROW(Assignments!$C$5:$C$124)/100000,9^9),0)+4),"")</f>
        <v/>
      </c>
      <c r="F25" s="16">
        <f>IFERROR(INDEX(Assignments!$E:$E,MATCH(SMALL(IF((Assignments!$C$5:$C$124&lt;&gt;"")*(Assignments!$I$5:$I$124=""),Assignments!$C$5:$C$124+ROW(Assignments!$C$5:$C$124)/100000,9^9),17),IF((Assignments!$C$5:$C$124&lt;&gt;"")*(Assignments!$I$5:$I$124=""),Assignments!$C$5:$C$124+ROW(Assignments!$C$5:$C$124)/100000,9^9),0)+4),"")</f>
        <v/>
      </c>
      <c r="G25" s="16">
        <f>IFERROR(INDEX(Assignments!$F:$F,MATCH(SMALL(IF((Assignments!$C$5:$C$124&lt;&gt;"")*(Assignments!$I$5:$I$124=""),Assignments!$C$5:$C$124+ROW(Assignments!$C$5:$C$124)/100000,9^9),17),IF((Assignments!$C$5:$C$124&lt;&gt;"")*(Assignments!$I$5:$I$124=""),Assignments!$C$5:$C$124+ROW(Assignments!$C$5:$C$124)/100000,9^9),0)+4),"")</f>
        <v/>
      </c>
      <c r="H25" s="16">
        <f>IFERROR(INDEX(Assignments!$N:$N,MATCH(SMALL(IF((Assignments!$C$5:$C$124&lt;&gt;"")*(Assignments!$I$5:$I$124=""),Assignments!$C$5:$C$124+ROW(Assignments!$C$5:$C$124)/100000,9^9),17),IF((Assignments!$C$5:$C$124&lt;&gt;"")*(Assignments!$I$5:$I$124=""),Assignments!$C$5:$C$124+ROW(Assignments!$C$5:$C$124)/100000,9^9),0)+4),"")</f>
        <v/>
      </c>
    </row>
    <row r="26">
      <c r="B26" s="22" t="n">
        <v>18</v>
      </c>
      <c r="C26" s="21">
        <f>IFERROR(INDEX(Assignments!$C:$C,MATCH(SMALL(IF((Assignments!$C$5:$C$124&lt;&gt;"")*(Assignments!$I$5:$I$124=""),Assignments!$C$5:$C$124+ROW(Assignments!$C$5:$C$124)/100000,9^9),18),IF((Assignments!$C$5:$C$124&lt;&gt;"")*(Assignments!$I$5:$I$124=""),Assignments!$C$5:$C$124+ROW(Assignments!$C$5:$C$124)/100000,9^9),0)+4),"")</f>
        <v/>
      </c>
      <c r="D26" s="23">
        <f>IFERROR(IF(INDEX(Assignments!$C:$C,MATCH(SMALL(IF((Assignments!$C$5:$C$124&lt;&gt;"")*(Assignments!$I$5:$I$124=""),Assignments!$C$5:$C$124+ROW(Assignments!$C$5:$C$124)/100000,9^9),18),IF((Assignments!$C$5:$C$124&lt;&gt;"")*(Assignments!$I$5:$I$124=""),Assignments!$C$5:$C$124+ROW(Assignments!$C$5:$C$124)/100000,9^9),0)+4)="","",INDEX(Assignments!$C:$C,MATCH(SMALL(IF((Assignments!$C$5:$C$124&lt;&gt;"")*(Assignments!$I$5:$I$124=""),Assignments!$C$5:$C$124+ROW(Assignments!$C$5:$C$124)/100000,9^9),18),IF((Assignments!$C$5:$C$124&lt;&gt;"")*(Assignments!$I$5:$I$124=""),Assignments!$C$5:$C$124+ROW(Assignments!$C$5:$C$124)/100000,9^9),0)+4)-TODAY()),"")</f>
        <v/>
      </c>
      <c r="E26" s="10">
        <f>IFERROR(INDEX(Assignments!$G:$G,MATCH(SMALL(IF((Assignments!$C$5:$C$124&lt;&gt;"")*(Assignments!$I$5:$I$124=""),Assignments!$C$5:$C$124+ROW(Assignments!$C$5:$C$124)/100000,9^9),18),IF((Assignments!$C$5:$C$124&lt;&gt;"")*(Assignments!$I$5:$I$124=""),Assignments!$C$5:$C$124+ROW(Assignments!$C$5:$C$124)/100000,9^9),0)+4),"")</f>
        <v/>
      </c>
      <c r="F26" s="22">
        <f>IFERROR(INDEX(Assignments!$E:$E,MATCH(SMALL(IF((Assignments!$C$5:$C$124&lt;&gt;"")*(Assignments!$I$5:$I$124=""),Assignments!$C$5:$C$124+ROW(Assignments!$C$5:$C$124)/100000,9^9),18),IF((Assignments!$C$5:$C$124&lt;&gt;"")*(Assignments!$I$5:$I$124=""),Assignments!$C$5:$C$124+ROW(Assignments!$C$5:$C$124)/100000,9^9),0)+4),"")</f>
        <v/>
      </c>
      <c r="G26" s="22">
        <f>IFERROR(INDEX(Assignments!$F:$F,MATCH(SMALL(IF((Assignments!$C$5:$C$124&lt;&gt;"")*(Assignments!$I$5:$I$124=""),Assignments!$C$5:$C$124+ROW(Assignments!$C$5:$C$124)/100000,9^9),18),IF((Assignments!$C$5:$C$124&lt;&gt;"")*(Assignments!$I$5:$I$124=""),Assignments!$C$5:$C$124+ROW(Assignments!$C$5:$C$124)/100000,9^9),0)+4),"")</f>
        <v/>
      </c>
      <c r="H26" s="22">
        <f>IFERROR(INDEX(Assignments!$N:$N,MATCH(SMALL(IF((Assignments!$C$5:$C$124&lt;&gt;"")*(Assignments!$I$5:$I$124=""),Assignments!$C$5:$C$124+ROW(Assignments!$C$5:$C$124)/100000,9^9),18),IF((Assignments!$C$5:$C$124&lt;&gt;"")*(Assignments!$I$5:$I$124=""),Assignments!$C$5:$C$124+ROW(Assignments!$C$5:$C$124)/100000,9^9),0)+4),"")</f>
        <v/>
      </c>
    </row>
    <row r="27">
      <c r="B27" s="16" t="n">
        <v>19</v>
      </c>
      <c r="C27" s="15">
        <f>IFERROR(INDEX(Assignments!$C:$C,MATCH(SMALL(IF((Assignments!$C$5:$C$124&lt;&gt;"")*(Assignments!$I$5:$I$124=""),Assignments!$C$5:$C$124+ROW(Assignments!$C$5:$C$124)/100000,9^9),19),IF((Assignments!$C$5:$C$124&lt;&gt;"")*(Assignments!$I$5:$I$124=""),Assignments!$C$5:$C$124+ROW(Assignments!$C$5:$C$124)/100000,9^9),0)+4),"")</f>
        <v/>
      </c>
      <c r="D27" s="17">
        <f>IFERROR(IF(INDEX(Assignments!$C:$C,MATCH(SMALL(IF((Assignments!$C$5:$C$124&lt;&gt;"")*(Assignments!$I$5:$I$124=""),Assignments!$C$5:$C$124+ROW(Assignments!$C$5:$C$124)/100000,9^9),19),IF((Assignments!$C$5:$C$124&lt;&gt;"")*(Assignments!$I$5:$I$124=""),Assignments!$C$5:$C$124+ROW(Assignments!$C$5:$C$124)/100000,9^9),0)+4)="","",INDEX(Assignments!$C:$C,MATCH(SMALL(IF((Assignments!$C$5:$C$124&lt;&gt;"")*(Assignments!$I$5:$I$124=""),Assignments!$C$5:$C$124+ROW(Assignments!$C$5:$C$124)/100000,9^9),19),IF((Assignments!$C$5:$C$124&lt;&gt;"")*(Assignments!$I$5:$I$124=""),Assignments!$C$5:$C$124+ROW(Assignments!$C$5:$C$124)/100000,9^9),0)+4)-TODAY()),"")</f>
        <v/>
      </c>
      <c r="E27" s="8">
        <f>IFERROR(INDEX(Assignments!$G:$G,MATCH(SMALL(IF((Assignments!$C$5:$C$124&lt;&gt;"")*(Assignments!$I$5:$I$124=""),Assignments!$C$5:$C$124+ROW(Assignments!$C$5:$C$124)/100000,9^9),19),IF((Assignments!$C$5:$C$124&lt;&gt;"")*(Assignments!$I$5:$I$124=""),Assignments!$C$5:$C$124+ROW(Assignments!$C$5:$C$124)/100000,9^9),0)+4),"")</f>
        <v/>
      </c>
      <c r="F27" s="16">
        <f>IFERROR(INDEX(Assignments!$E:$E,MATCH(SMALL(IF((Assignments!$C$5:$C$124&lt;&gt;"")*(Assignments!$I$5:$I$124=""),Assignments!$C$5:$C$124+ROW(Assignments!$C$5:$C$124)/100000,9^9),19),IF((Assignments!$C$5:$C$124&lt;&gt;"")*(Assignments!$I$5:$I$124=""),Assignments!$C$5:$C$124+ROW(Assignments!$C$5:$C$124)/100000,9^9),0)+4),"")</f>
        <v/>
      </c>
      <c r="G27" s="16">
        <f>IFERROR(INDEX(Assignments!$F:$F,MATCH(SMALL(IF((Assignments!$C$5:$C$124&lt;&gt;"")*(Assignments!$I$5:$I$124=""),Assignments!$C$5:$C$124+ROW(Assignments!$C$5:$C$124)/100000,9^9),19),IF((Assignments!$C$5:$C$124&lt;&gt;"")*(Assignments!$I$5:$I$124=""),Assignments!$C$5:$C$124+ROW(Assignments!$C$5:$C$124)/100000,9^9),0)+4),"")</f>
        <v/>
      </c>
      <c r="H27" s="16">
        <f>IFERROR(INDEX(Assignments!$N:$N,MATCH(SMALL(IF((Assignments!$C$5:$C$124&lt;&gt;"")*(Assignments!$I$5:$I$124=""),Assignments!$C$5:$C$124+ROW(Assignments!$C$5:$C$124)/100000,9^9),19),IF((Assignments!$C$5:$C$124&lt;&gt;"")*(Assignments!$I$5:$I$124=""),Assignments!$C$5:$C$124+ROW(Assignments!$C$5:$C$124)/100000,9^9),0)+4),"")</f>
        <v/>
      </c>
    </row>
    <row r="28">
      <c r="B28" s="22" t="n">
        <v>20</v>
      </c>
      <c r="C28" s="21">
        <f>IFERROR(INDEX(Assignments!$C:$C,MATCH(SMALL(IF((Assignments!$C$5:$C$124&lt;&gt;"")*(Assignments!$I$5:$I$124=""),Assignments!$C$5:$C$124+ROW(Assignments!$C$5:$C$124)/100000,9^9),20),IF((Assignments!$C$5:$C$124&lt;&gt;"")*(Assignments!$I$5:$I$124=""),Assignments!$C$5:$C$124+ROW(Assignments!$C$5:$C$124)/100000,9^9),0)+4),"")</f>
        <v/>
      </c>
      <c r="D28" s="23">
        <f>IFERROR(IF(INDEX(Assignments!$C:$C,MATCH(SMALL(IF((Assignments!$C$5:$C$124&lt;&gt;"")*(Assignments!$I$5:$I$124=""),Assignments!$C$5:$C$124+ROW(Assignments!$C$5:$C$124)/100000,9^9),20),IF((Assignments!$C$5:$C$124&lt;&gt;"")*(Assignments!$I$5:$I$124=""),Assignments!$C$5:$C$124+ROW(Assignments!$C$5:$C$124)/100000,9^9),0)+4)="","",INDEX(Assignments!$C:$C,MATCH(SMALL(IF((Assignments!$C$5:$C$124&lt;&gt;"")*(Assignments!$I$5:$I$124=""),Assignments!$C$5:$C$124+ROW(Assignments!$C$5:$C$124)/100000,9^9),20),IF((Assignments!$C$5:$C$124&lt;&gt;"")*(Assignments!$I$5:$I$124=""),Assignments!$C$5:$C$124+ROW(Assignments!$C$5:$C$124)/100000,9^9),0)+4)-TODAY()),"")</f>
        <v/>
      </c>
      <c r="E28" s="10">
        <f>IFERROR(INDEX(Assignments!$G:$G,MATCH(SMALL(IF((Assignments!$C$5:$C$124&lt;&gt;"")*(Assignments!$I$5:$I$124=""),Assignments!$C$5:$C$124+ROW(Assignments!$C$5:$C$124)/100000,9^9),20),IF((Assignments!$C$5:$C$124&lt;&gt;"")*(Assignments!$I$5:$I$124=""),Assignments!$C$5:$C$124+ROW(Assignments!$C$5:$C$124)/100000,9^9),0)+4),"")</f>
        <v/>
      </c>
      <c r="F28" s="22">
        <f>IFERROR(INDEX(Assignments!$E:$E,MATCH(SMALL(IF((Assignments!$C$5:$C$124&lt;&gt;"")*(Assignments!$I$5:$I$124=""),Assignments!$C$5:$C$124+ROW(Assignments!$C$5:$C$124)/100000,9^9),20),IF((Assignments!$C$5:$C$124&lt;&gt;"")*(Assignments!$I$5:$I$124=""),Assignments!$C$5:$C$124+ROW(Assignments!$C$5:$C$124)/100000,9^9),0)+4),"")</f>
        <v/>
      </c>
      <c r="G28" s="22">
        <f>IFERROR(INDEX(Assignments!$F:$F,MATCH(SMALL(IF((Assignments!$C$5:$C$124&lt;&gt;"")*(Assignments!$I$5:$I$124=""),Assignments!$C$5:$C$124+ROW(Assignments!$C$5:$C$124)/100000,9^9),20),IF((Assignments!$C$5:$C$124&lt;&gt;"")*(Assignments!$I$5:$I$124=""),Assignments!$C$5:$C$124+ROW(Assignments!$C$5:$C$124)/100000,9^9),0)+4),"")</f>
        <v/>
      </c>
      <c r="H28" s="22">
        <f>IFERROR(INDEX(Assignments!$N:$N,MATCH(SMALL(IF((Assignments!$C$5:$C$124&lt;&gt;"")*(Assignments!$I$5:$I$124=""),Assignments!$C$5:$C$124+ROW(Assignments!$C$5:$C$124)/100000,9^9),20),IF((Assignments!$C$5:$C$124&lt;&gt;"")*(Assignments!$I$5:$I$124=""),Assignments!$C$5:$C$124+ROW(Assignments!$C$5:$C$124)/100000,9^9),0)+4),"")</f>
        <v/>
      </c>
    </row>
    <row r="29">
      <c r="B29" s="16" t="n">
        <v>21</v>
      </c>
      <c r="C29" s="15">
        <f>IFERROR(INDEX(Assignments!$C:$C,MATCH(SMALL(IF((Assignments!$C$5:$C$124&lt;&gt;"")*(Assignments!$I$5:$I$124=""),Assignments!$C$5:$C$124+ROW(Assignments!$C$5:$C$124)/100000,9^9),21),IF((Assignments!$C$5:$C$124&lt;&gt;"")*(Assignments!$I$5:$I$124=""),Assignments!$C$5:$C$124+ROW(Assignments!$C$5:$C$124)/100000,9^9),0)+4),"")</f>
        <v/>
      </c>
      <c r="D29" s="17">
        <f>IFERROR(IF(INDEX(Assignments!$C:$C,MATCH(SMALL(IF((Assignments!$C$5:$C$124&lt;&gt;"")*(Assignments!$I$5:$I$124=""),Assignments!$C$5:$C$124+ROW(Assignments!$C$5:$C$124)/100000,9^9),21),IF((Assignments!$C$5:$C$124&lt;&gt;"")*(Assignments!$I$5:$I$124=""),Assignments!$C$5:$C$124+ROW(Assignments!$C$5:$C$124)/100000,9^9),0)+4)="","",INDEX(Assignments!$C:$C,MATCH(SMALL(IF((Assignments!$C$5:$C$124&lt;&gt;"")*(Assignments!$I$5:$I$124=""),Assignments!$C$5:$C$124+ROW(Assignments!$C$5:$C$124)/100000,9^9),21),IF((Assignments!$C$5:$C$124&lt;&gt;"")*(Assignments!$I$5:$I$124=""),Assignments!$C$5:$C$124+ROW(Assignments!$C$5:$C$124)/100000,9^9),0)+4)-TODAY()),"")</f>
        <v/>
      </c>
      <c r="E29" s="8">
        <f>IFERROR(INDEX(Assignments!$G:$G,MATCH(SMALL(IF((Assignments!$C$5:$C$124&lt;&gt;"")*(Assignments!$I$5:$I$124=""),Assignments!$C$5:$C$124+ROW(Assignments!$C$5:$C$124)/100000,9^9),21),IF((Assignments!$C$5:$C$124&lt;&gt;"")*(Assignments!$I$5:$I$124=""),Assignments!$C$5:$C$124+ROW(Assignments!$C$5:$C$124)/100000,9^9),0)+4),"")</f>
        <v/>
      </c>
      <c r="F29" s="16">
        <f>IFERROR(INDEX(Assignments!$E:$E,MATCH(SMALL(IF((Assignments!$C$5:$C$124&lt;&gt;"")*(Assignments!$I$5:$I$124=""),Assignments!$C$5:$C$124+ROW(Assignments!$C$5:$C$124)/100000,9^9),21),IF((Assignments!$C$5:$C$124&lt;&gt;"")*(Assignments!$I$5:$I$124=""),Assignments!$C$5:$C$124+ROW(Assignments!$C$5:$C$124)/100000,9^9),0)+4),"")</f>
        <v/>
      </c>
      <c r="G29" s="16">
        <f>IFERROR(INDEX(Assignments!$F:$F,MATCH(SMALL(IF((Assignments!$C$5:$C$124&lt;&gt;"")*(Assignments!$I$5:$I$124=""),Assignments!$C$5:$C$124+ROW(Assignments!$C$5:$C$124)/100000,9^9),21),IF((Assignments!$C$5:$C$124&lt;&gt;"")*(Assignments!$I$5:$I$124=""),Assignments!$C$5:$C$124+ROW(Assignments!$C$5:$C$124)/100000,9^9),0)+4),"")</f>
        <v/>
      </c>
      <c r="H29" s="16">
        <f>IFERROR(INDEX(Assignments!$N:$N,MATCH(SMALL(IF((Assignments!$C$5:$C$124&lt;&gt;"")*(Assignments!$I$5:$I$124=""),Assignments!$C$5:$C$124+ROW(Assignments!$C$5:$C$124)/100000,9^9),21),IF((Assignments!$C$5:$C$124&lt;&gt;"")*(Assignments!$I$5:$I$124=""),Assignments!$C$5:$C$124+ROW(Assignments!$C$5:$C$124)/100000,9^9),0)+4),"")</f>
        <v/>
      </c>
    </row>
    <row r="30">
      <c r="B30" s="22" t="n">
        <v>22</v>
      </c>
      <c r="C30" s="21">
        <f>IFERROR(INDEX(Assignments!$C:$C,MATCH(SMALL(IF((Assignments!$C$5:$C$124&lt;&gt;"")*(Assignments!$I$5:$I$124=""),Assignments!$C$5:$C$124+ROW(Assignments!$C$5:$C$124)/100000,9^9),22),IF((Assignments!$C$5:$C$124&lt;&gt;"")*(Assignments!$I$5:$I$124=""),Assignments!$C$5:$C$124+ROW(Assignments!$C$5:$C$124)/100000,9^9),0)+4),"")</f>
        <v/>
      </c>
      <c r="D30" s="23">
        <f>IFERROR(IF(INDEX(Assignments!$C:$C,MATCH(SMALL(IF((Assignments!$C$5:$C$124&lt;&gt;"")*(Assignments!$I$5:$I$124=""),Assignments!$C$5:$C$124+ROW(Assignments!$C$5:$C$124)/100000,9^9),22),IF((Assignments!$C$5:$C$124&lt;&gt;"")*(Assignments!$I$5:$I$124=""),Assignments!$C$5:$C$124+ROW(Assignments!$C$5:$C$124)/100000,9^9),0)+4)="","",INDEX(Assignments!$C:$C,MATCH(SMALL(IF((Assignments!$C$5:$C$124&lt;&gt;"")*(Assignments!$I$5:$I$124=""),Assignments!$C$5:$C$124+ROW(Assignments!$C$5:$C$124)/100000,9^9),22),IF((Assignments!$C$5:$C$124&lt;&gt;"")*(Assignments!$I$5:$I$124=""),Assignments!$C$5:$C$124+ROW(Assignments!$C$5:$C$124)/100000,9^9),0)+4)-TODAY()),"")</f>
        <v/>
      </c>
      <c r="E30" s="10">
        <f>IFERROR(INDEX(Assignments!$G:$G,MATCH(SMALL(IF((Assignments!$C$5:$C$124&lt;&gt;"")*(Assignments!$I$5:$I$124=""),Assignments!$C$5:$C$124+ROW(Assignments!$C$5:$C$124)/100000,9^9),22),IF((Assignments!$C$5:$C$124&lt;&gt;"")*(Assignments!$I$5:$I$124=""),Assignments!$C$5:$C$124+ROW(Assignments!$C$5:$C$124)/100000,9^9),0)+4),"")</f>
        <v/>
      </c>
      <c r="F30" s="22">
        <f>IFERROR(INDEX(Assignments!$E:$E,MATCH(SMALL(IF((Assignments!$C$5:$C$124&lt;&gt;"")*(Assignments!$I$5:$I$124=""),Assignments!$C$5:$C$124+ROW(Assignments!$C$5:$C$124)/100000,9^9),22),IF((Assignments!$C$5:$C$124&lt;&gt;"")*(Assignments!$I$5:$I$124=""),Assignments!$C$5:$C$124+ROW(Assignments!$C$5:$C$124)/100000,9^9),0)+4),"")</f>
        <v/>
      </c>
      <c r="G30" s="22">
        <f>IFERROR(INDEX(Assignments!$F:$F,MATCH(SMALL(IF((Assignments!$C$5:$C$124&lt;&gt;"")*(Assignments!$I$5:$I$124=""),Assignments!$C$5:$C$124+ROW(Assignments!$C$5:$C$124)/100000,9^9),22),IF((Assignments!$C$5:$C$124&lt;&gt;"")*(Assignments!$I$5:$I$124=""),Assignments!$C$5:$C$124+ROW(Assignments!$C$5:$C$124)/100000,9^9),0)+4),"")</f>
        <v/>
      </c>
      <c r="H30" s="22">
        <f>IFERROR(INDEX(Assignments!$N:$N,MATCH(SMALL(IF((Assignments!$C$5:$C$124&lt;&gt;"")*(Assignments!$I$5:$I$124=""),Assignments!$C$5:$C$124+ROW(Assignments!$C$5:$C$124)/100000,9^9),22),IF((Assignments!$C$5:$C$124&lt;&gt;"")*(Assignments!$I$5:$I$124=""),Assignments!$C$5:$C$124+ROW(Assignments!$C$5:$C$124)/100000,9^9),0)+4),"")</f>
        <v/>
      </c>
    </row>
    <row r="31">
      <c r="B31" s="16" t="n">
        <v>23</v>
      </c>
      <c r="C31" s="15">
        <f>IFERROR(INDEX(Assignments!$C:$C,MATCH(SMALL(IF((Assignments!$C$5:$C$124&lt;&gt;"")*(Assignments!$I$5:$I$124=""),Assignments!$C$5:$C$124+ROW(Assignments!$C$5:$C$124)/100000,9^9),23),IF((Assignments!$C$5:$C$124&lt;&gt;"")*(Assignments!$I$5:$I$124=""),Assignments!$C$5:$C$124+ROW(Assignments!$C$5:$C$124)/100000,9^9),0)+4),"")</f>
        <v/>
      </c>
      <c r="D31" s="17">
        <f>IFERROR(IF(INDEX(Assignments!$C:$C,MATCH(SMALL(IF((Assignments!$C$5:$C$124&lt;&gt;"")*(Assignments!$I$5:$I$124=""),Assignments!$C$5:$C$124+ROW(Assignments!$C$5:$C$124)/100000,9^9),23),IF((Assignments!$C$5:$C$124&lt;&gt;"")*(Assignments!$I$5:$I$124=""),Assignments!$C$5:$C$124+ROW(Assignments!$C$5:$C$124)/100000,9^9),0)+4)="","",INDEX(Assignments!$C:$C,MATCH(SMALL(IF((Assignments!$C$5:$C$124&lt;&gt;"")*(Assignments!$I$5:$I$124=""),Assignments!$C$5:$C$124+ROW(Assignments!$C$5:$C$124)/100000,9^9),23),IF((Assignments!$C$5:$C$124&lt;&gt;"")*(Assignments!$I$5:$I$124=""),Assignments!$C$5:$C$124+ROW(Assignments!$C$5:$C$124)/100000,9^9),0)+4)-TODAY()),"")</f>
        <v/>
      </c>
      <c r="E31" s="8">
        <f>IFERROR(INDEX(Assignments!$G:$G,MATCH(SMALL(IF((Assignments!$C$5:$C$124&lt;&gt;"")*(Assignments!$I$5:$I$124=""),Assignments!$C$5:$C$124+ROW(Assignments!$C$5:$C$124)/100000,9^9),23),IF((Assignments!$C$5:$C$124&lt;&gt;"")*(Assignments!$I$5:$I$124=""),Assignments!$C$5:$C$124+ROW(Assignments!$C$5:$C$124)/100000,9^9),0)+4),"")</f>
        <v/>
      </c>
      <c r="F31" s="16">
        <f>IFERROR(INDEX(Assignments!$E:$E,MATCH(SMALL(IF((Assignments!$C$5:$C$124&lt;&gt;"")*(Assignments!$I$5:$I$124=""),Assignments!$C$5:$C$124+ROW(Assignments!$C$5:$C$124)/100000,9^9),23),IF((Assignments!$C$5:$C$124&lt;&gt;"")*(Assignments!$I$5:$I$124=""),Assignments!$C$5:$C$124+ROW(Assignments!$C$5:$C$124)/100000,9^9),0)+4),"")</f>
        <v/>
      </c>
      <c r="G31" s="16">
        <f>IFERROR(INDEX(Assignments!$F:$F,MATCH(SMALL(IF((Assignments!$C$5:$C$124&lt;&gt;"")*(Assignments!$I$5:$I$124=""),Assignments!$C$5:$C$124+ROW(Assignments!$C$5:$C$124)/100000,9^9),23),IF((Assignments!$C$5:$C$124&lt;&gt;"")*(Assignments!$I$5:$I$124=""),Assignments!$C$5:$C$124+ROW(Assignments!$C$5:$C$124)/100000,9^9),0)+4),"")</f>
        <v/>
      </c>
      <c r="H31" s="16">
        <f>IFERROR(INDEX(Assignments!$N:$N,MATCH(SMALL(IF((Assignments!$C$5:$C$124&lt;&gt;"")*(Assignments!$I$5:$I$124=""),Assignments!$C$5:$C$124+ROW(Assignments!$C$5:$C$124)/100000,9^9),23),IF((Assignments!$C$5:$C$124&lt;&gt;"")*(Assignments!$I$5:$I$124=""),Assignments!$C$5:$C$124+ROW(Assignments!$C$5:$C$124)/100000,9^9),0)+4),"")</f>
        <v/>
      </c>
    </row>
    <row r="32">
      <c r="B32" s="22" t="n">
        <v>24</v>
      </c>
      <c r="C32" s="21">
        <f>IFERROR(INDEX(Assignments!$C:$C,MATCH(SMALL(IF((Assignments!$C$5:$C$124&lt;&gt;"")*(Assignments!$I$5:$I$124=""),Assignments!$C$5:$C$124+ROW(Assignments!$C$5:$C$124)/100000,9^9),24),IF((Assignments!$C$5:$C$124&lt;&gt;"")*(Assignments!$I$5:$I$124=""),Assignments!$C$5:$C$124+ROW(Assignments!$C$5:$C$124)/100000,9^9),0)+4),"")</f>
        <v/>
      </c>
      <c r="D32" s="23">
        <f>IFERROR(IF(INDEX(Assignments!$C:$C,MATCH(SMALL(IF((Assignments!$C$5:$C$124&lt;&gt;"")*(Assignments!$I$5:$I$124=""),Assignments!$C$5:$C$124+ROW(Assignments!$C$5:$C$124)/100000,9^9),24),IF((Assignments!$C$5:$C$124&lt;&gt;"")*(Assignments!$I$5:$I$124=""),Assignments!$C$5:$C$124+ROW(Assignments!$C$5:$C$124)/100000,9^9),0)+4)="","",INDEX(Assignments!$C:$C,MATCH(SMALL(IF((Assignments!$C$5:$C$124&lt;&gt;"")*(Assignments!$I$5:$I$124=""),Assignments!$C$5:$C$124+ROW(Assignments!$C$5:$C$124)/100000,9^9),24),IF((Assignments!$C$5:$C$124&lt;&gt;"")*(Assignments!$I$5:$I$124=""),Assignments!$C$5:$C$124+ROW(Assignments!$C$5:$C$124)/100000,9^9),0)+4)-TODAY()),"")</f>
        <v/>
      </c>
      <c r="E32" s="10">
        <f>IFERROR(INDEX(Assignments!$G:$G,MATCH(SMALL(IF((Assignments!$C$5:$C$124&lt;&gt;"")*(Assignments!$I$5:$I$124=""),Assignments!$C$5:$C$124+ROW(Assignments!$C$5:$C$124)/100000,9^9),24),IF((Assignments!$C$5:$C$124&lt;&gt;"")*(Assignments!$I$5:$I$124=""),Assignments!$C$5:$C$124+ROW(Assignments!$C$5:$C$124)/100000,9^9),0)+4),"")</f>
        <v/>
      </c>
      <c r="F32" s="22">
        <f>IFERROR(INDEX(Assignments!$E:$E,MATCH(SMALL(IF((Assignments!$C$5:$C$124&lt;&gt;"")*(Assignments!$I$5:$I$124=""),Assignments!$C$5:$C$124+ROW(Assignments!$C$5:$C$124)/100000,9^9),24),IF((Assignments!$C$5:$C$124&lt;&gt;"")*(Assignments!$I$5:$I$124=""),Assignments!$C$5:$C$124+ROW(Assignments!$C$5:$C$124)/100000,9^9),0)+4),"")</f>
        <v/>
      </c>
      <c r="G32" s="22">
        <f>IFERROR(INDEX(Assignments!$F:$F,MATCH(SMALL(IF((Assignments!$C$5:$C$124&lt;&gt;"")*(Assignments!$I$5:$I$124=""),Assignments!$C$5:$C$124+ROW(Assignments!$C$5:$C$124)/100000,9^9),24),IF((Assignments!$C$5:$C$124&lt;&gt;"")*(Assignments!$I$5:$I$124=""),Assignments!$C$5:$C$124+ROW(Assignments!$C$5:$C$124)/100000,9^9),0)+4),"")</f>
        <v/>
      </c>
      <c r="H32" s="22">
        <f>IFERROR(INDEX(Assignments!$N:$N,MATCH(SMALL(IF((Assignments!$C$5:$C$124&lt;&gt;"")*(Assignments!$I$5:$I$124=""),Assignments!$C$5:$C$124+ROW(Assignments!$C$5:$C$124)/100000,9^9),24),IF((Assignments!$C$5:$C$124&lt;&gt;"")*(Assignments!$I$5:$I$124=""),Assignments!$C$5:$C$124+ROW(Assignments!$C$5:$C$124)/100000,9^9),0)+4),"")</f>
        <v/>
      </c>
    </row>
    <row r="33">
      <c r="B33" s="16" t="n">
        <v>25</v>
      </c>
      <c r="C33" s="15">
        <f>IFERROR(INDEX(Assignments!$C:$C,MATCH(SMALL(IF((Assignments!$C$5:$C$124&lt;&gt;"")*(Assignments!$I$5:$I$124=""),Assignments!$C$5:$C$124+ROW(Assignments!$C$5:$C$124)/100000,9^9),25),IF((Assignments!$C$5:$C$124&lt;&gt;"")*(Assignments!$I$5:$I$124=""),Assignments!$C$5:$C$124+ROW(Assignments!$C$5:$C$124)/100000,9^9),0)+4),"")</f>
        <v/>
      </c>
      <c r="D33" s="17">
        <f>IFERROR(IF(INDEX(Assignments!$C:$C,MATCH(SMALL(IF((Assignments!$C$5:$C$124&lt;&gt;"")*(Assignments!$I$5:$I$124=""),Assignments!$C$5:$C$124+ROW(Assignments!$C$5:$C$124)/100000,9^9),25),IF((Assignments!$C$5:$C$124&lt;&gt;"")*(Assignments!$I$5:$I$124=""),Assignments!$C$5:$C$124+ROW(Assignments!$C$5:$C$124)/100000,9^9),0)+4)="","",INDEX(Assignments!$C:$C,MATCH(SMALL(IF((Assignments!$C$5:$C$124&lt;&gt;"")*(Assignments!$I$5:$I$124=""),Assignments!$C$5:$C$124+ROW(Assignments!$C$5:$C$124)/100000,9^9),25),IF((Assignments!$C$5:$C$124&lt;&gt;"")*(Assignments!$I$5:$I$124=""),Assignments!$C$5:$C$124+ROW(Assignments!$C$5:$C$124)/100000,9^9),0)+4)-TODAY()),"")</f>
        <v/>
      </c>
      <c r="E33" s="8">
        <f>IFERROR(INDEX(Assignments!$G:$G,MATCH(SMALL(IF((Assignments!$C$5:$C$124&lt;&gt;"")*(Assignments!$I$5:$I$124=""),Assignments!$C$5:$C$124+ROW(Assignments!$C$5:$C$124)/100000,9^9),25),IF((Assignments!$C$5:$C$124&lt;&gt;"")*(Assignments!$I$5:$I$124=""),Assignments!$C$5:$C$124+ROW(Assignments!$C$5:$C$124)/100000,9^9),0)+4),"")</f>
        <v/>
      </c>
      <c r="F33" s="16">
        <f>IFERROR(INDEX(Assignments!$E:$E,MATCH(SMALL(IF((Assignments!$C$5:$C$124&lt;&gt;"")*(Assignments!$I$5:$I$124=""),Assignments!$C$5:$C$124+ROW(Assignments!$C$5:$C$124)/100000,9^9),25),IF((Assignments!$C$5:$C$124&lt;&gt;"")*(Assignments!$I$5:$I$124=""),Assignments!$C$5:$C$124+ROW(Assignments!$C$5:$C$124)/100000,9^9),0)+4),"")</f>
        <v/>
      </c>
      <c r="G33" s="16">
        <f>IFERROR(INDEX(Assignments!$F:$F,MATCH(SMALL(IF((Assignments!$C$5:$C$124&lt;&gt;"")*(Assignments!$I$5:$I$124=""),Assignments!$C$5:$C$124+ROW(Assignments!$C$5:$C$124)/100000,9^9),25),IF((Assignments!$C$5:$C$124&lt;&gt;"")*(Assignments!$I$5:$I$124=""),Assignments!$C$5:$C$124+ROW(Assignments!$C$5:$C$124)/100000,9^9),0)+4),"")</f>
        <v/>
      </c>
      <c r="H33" s="16">
        <f>IFERROR(INDEX(Assignments!$N:$N,MATCH(SMALL(IF((Assignments!$C$5:$C$124&lt;&gt;"")*(Assignments!$I$5:$I$124=""),Assignments!$C$5:$C$124+ROW(Assignments!$C$5:$C$124)/100000,9^9),25),IF((Assignments!$C$5:$C$124&lt;&gt;"")*(Assignments!$I$5:$I$124=""),Assignments!$C$5:$C$124+ROW(Assignments!$C$5:$C$124)/100000,9^9),0)+4),"")</f>
        <v/>
      </c>
    </row>
    <row r="34">
      <c r="B34" s="22" t="n">
        <v>26</v>
      </c>
      <c r="C34" s="21">
        <f>IFERROR(INDEX(Assignments!$C:$C,MATCH(SMALL(IF((Assignments!$C$5:$C$124&lt;&gt;"")*(Assignments!$I$5:$I$124=""),Assignments!$C$5:$C$124+ROW(Assignments!$C$5:$C$124)/100000,9^9),26),IF((Assignments!$C$5:$C$124&lt;&gt;"")*(Assignments!$I$5:$I$124=""),Assignments!$C$5:$C$124+ROW(Assignments!$C$5:$C$124)/100000,9^9),0)+4),"")</f>
        <v/>
      </c>
      <c r="D34" s="23">
        <f>IFERROR(IF(INDEX(Assignments!$C:$C,MATCH(SMALL(IF((Assignments!$C$5:$C$124&lt;&gt;"")*(Assignments!$I$5:$I$124=""),Assignments!$C$5:$C$124+ROW(Assignments!$C$5:$C$124)/100000,9^9),26),IF((Assignments!$C$5:$C$124&lt;&gt;"")*(Assignments!$I$5:$I$124=""),Assignments!$C$5:$C$124+ROW(Assignments!$C$5:$C$124)/100000,9^9),0)+4)="","",INDEX(Assignments!$C:$C,MATCH(SMALL(IF((Assignments!$C$5:$C$124&lt;&gt;"")*(Assignments!$I$5:$I$124=""),Assignments!$C$5:$C$124+ROW(Assignments!$C$5:$C$124)/100000,9^9),26),IF((Assignments!$C$5:$C$124&lt;&gt;"")*(Assignments!$I$5:$I$124=""),Assignments!$C$5:$C$124+ROW(Assignments!$C$5:$C$124)/100000,9^9),0)+4)-TODAY()),"")</f>
        <v/>
      </c>
      <c r="E34" s="10">
        <f>IFERROR(INDEX(Assignments!$G:$G,MATCH(SMALL(IF((Assignments!$C$5:$C$124&lt;&gt;"")*(Assignments!$I$5:$I$124=""),Assignments!$C$5:$C$124+ROW(Assignments!$C$5:$C$124)/100000,9^9),26),IF((Assignments!$C$5:$C$124&lt;&gt;"")*(Assignments!$I$5:$I$124=""),Assignments!$C$5:$C$124+ROW(Assignments!$C$5:$C$124)/100000,9^9),0)+4),"")</f>
        <v/>
      </c>
      <c r="F34" s="22">
        <f>IFERROR(INDEX(Assignments!$E:$E,MATCH(SMALL(IF((Assignments!$C$5:$C$124&lt;&gt;"")*(Assignments!$I$5:$I$124=""),Assignments!$C$5:$C$124+ROW(Assignments!$C$5:$C$124)/100000,9^9),26),IF((Assignments!$C$5:$C$124&lt;&gt;"")*(Assignments!$I$5:$I$124=""),Assignments!$C$5:$C$124+ROW(Assignments!$C$5:$C$124)/100000,9^9),0)+4),"")</f>
        <v/>
      </c>
      <c r="G34" s="22">
        <f>IFERROR(INDEX(Assignments!$F:$F,MATCH(SMALL(IF((Assignments!$C$5:$C$124&lt;&gt;"")*(Assignments!$I$5:$I$124=""),Assignments!$C$5:$C$124+ROW(Assignments!$C$5:$C$124)/100000,9^9),26),IF((Assignments!$C$5:$C$124&lt;&gt;"")*(Assignments!$I$5:$I$124=""),Assignments!$C$5:$C$124+ROW(Assignments!$C$5:$C$124)/100000,9^9),0)+4),"")</f>
        <v/>
      </c>
      <c r="H34" s="22">
        <f>IFERROR(INDEX(Assignments!$N:$N,MATCH(SMALL(IF((Assignments!$C$5:$C$124&lt;&gt;"")*(Assignments!$I$5:$I$124=""),Assignments!$C$5:$C$124+ROW(Assignments!$C$5:$C$124)/100000,9^9),26),IF((Assignments!$C$5:$C$124&lt;&gt;"")*(Assignments!$I$5:$I$124=""),Assignments!$C$5:$C$124+ROW(Assignments!$C$5:$C$124)/100000,9^9),0)+4),"")</f>
        <v/>
      </c>
    </row>
    <row r="35">
      <c r="B35" s="16" t="n">
        <v>27</v>
      </c>
      <c r="C35" s="15">
        <f>IFERROR(INDEX(Assignments!$C:$C,MATCH(SMALL(IF((Assignments!$C$5:$C$124&lt;&gt;"")*(Assignments!$I$5:$I$124=""),Assignments!$C$5:$C$124+ROW(Assignments!$C$5:$C$124)/100000,9^9),27),IF((Assignments!$C$5:$C$124&lt;&gt;"")*(Assignments!$I$5:$I$124=""),Assignments!$C$5:$C$124+ROW(Assignments!$C$5:$C$124)/100000,9^9),0)+4),"")</f>
        <v/>
      </c>
      <c r="D35" s="17">
        <f>IFERROR(IF(INDEX(Assignments!$C:$C,MATCH(SMALL(IF((Assignments!$C$5:$C$124&lt;&gt;"")*(Assignments!$I$5:$I$124=""),Assignments!$C$5:$C$124+ROW(Assignments!$C$5:$C$124)/100000,9^9),27),IF((Assignments!$C$5:$C$124&lt;&gt;"")*(Assignments!$I$5:$I$124=""),Assignments!$C$5:$C$124+ROW(Assignments!$C$5:$C$124)/100000,9^9),0)+4)="","",INDEX(Assignments!$C:$C,MATCH(SMALL(IF((Assignments!$C$5:$C$124&lt;&gt;"")*(Assignments!$I$5:$I$124=""),Assignments!$C$5:$C$124+ROW(Assignments!$C$5:$C$124)/100000,9^9),27),IF((Assignments!$C$5:$C$124&lt;&gt;"")*(Assignments!$I$5:$I$124=""),Assignments!$C$5:$C$124+ROW(Assignments!$C$5:$C$124)/100000,9^9),0)+4)-TODAY()),"")</f>
        <v/>
      </c>
      <c r="E35" s="8">
        <f>IFERROR(INDEX(Assignments!$G:$G,MATCH(SMALL(IF((Assignments!$C$5:$C$124&lt;&gt;"")*(Assignments!$I$5:$I$124=""),Assignments!$C$5:$C$124+ROW(Assignments!$C$5:$C$124)/100000,9^9),27),IF((Assignments!$C$5:$C$124&lt;&gt;"")*(Assignments!$I$5:$I$124=""),Assignments!$C$5:$C$124+ROW(Assignments!$C$5:$C$124)/100000,9^9),0)+4),"")</f>
        <v/>
      </c>
      <c r="F35" s="16">
        <f>IFERROR(INDEX(Assignments!$E:$E,MATCH(SMALL(IF((Assignments!$C$5:$C$124&lt;&gt;"")*(Assignments!$I$5:$I$124=""),Assignments!$C$5:$C$124+ROW(Assignments!$C$5:$C$124)/100000,9^9),27),IF((Assignments!$C$5:$C$124&lt;&gt;"")*(Assignments!$I$5:$I$124=""),Assignments!$C$5:$C$124+ROW(Assignments!$C$5:$C$124)/100000,9^9),0)+4),"")</f>
        <v/>
      </c>
      <c r="G35" s="16">
        <f>IFERROR(INDEX(Assignments!$F:$F,MATCH(SMALL(IF((Assignments!$C$5:$C$124&lt;&gt;"")*(Assignments!$I$5:$I$124=""),Assignments!$C$5:$C$124+ROW(Assignments!$C$5:$C$124)/100000,9^9),27),IF((Assignments!$C$5:$C$124&lt;&gt;"")*(Assignments!$I$5:$I$124=""),Assignments!$C$5:$C$124+ROW(Assignments!$C$5:$C$124)/100000,9^9),0)+4),"")</f>
        <v/>
      </c>
      <c r="H35" s="16">
        <f>IFERROR(INDEX(Assignments!$N:$N,MATCH(SMALL(IF((Assignments!$C$5:$C$124&lt;&gt;"")*(Assignments!$I$5:$I$124=""),Assignments!$C$5:$C$124+ROW(Assignments!$C$5:$C$124)/100000,9^9),27),IF((Assignments!$C$5:$C$124&lt;&gt;"")*(Assignments!$I$5:$I$124=""),Assignments!$C$5:$C$124+ROW(Assignments!$C$5:$C$124)/100000,9^9),0)+4),"")</f>
        <v/>
      </c>
    </row>
    <row r="36">
      <c r="B36" s="22" t="n">
        <v>28</v>
      </c>
      <c r="C36" s="21">
        <f>IFERROR(INDEX(Assignments!$C:$C,MATCH(SMALL(IF((Assignments!$C$5:$C$124&lt;&gt;"")*(Assignments!$I$5:$I$124=""),Assignments!$C$5:$C$124+ROW(Assignments!$C$5:$C$124)/100000,9^9),28),IF((Assignments!$C$5:$C$124&lt;&gt;"")*(Assignments!$I$5:$I$124=""),Assignments!$C$5:$C$124+ROW(Assignments!$C$5:$C$124)/100000,9^9),0)+4),"")</f>
        <v/>
      </c>
      <c r="D36" s="23">
        <f>IFERROR(IF(INDEX(Assignments!$C:$C,MATCH(SMALL(IF((Assignments!$C$5:$C$124&lt;&gt;"")*(Assignments!$I$5:$I$124=""),Assignments!$C$5:$C$124+ROW(Assignments!$C$5:$C$124)/100000,9^9),28),IF((Assignments!$C$5:$C$124&lt;&gt;"")*(Assignments!$I$5:$I$124=""),Assignments!$C$5:$C$124+ROW(Assignments!$C$5:$C$124)/100000,9^9),0)+4)="","",INDEX(Assignments!$C:$C,MATCH(SMALL(IF((Assignments!$C$5:$C$124&lt;&gt;"")*(Assignments!$I$5:$I$124=""),Assignments!$C$5:$C$124+ROW(Assignments!$C$5:$C$124)/100000,9^9),28),IF((Assignments!$C$5:$C$124&lt;&gt;"")*(Assignments!$I$5:$I$124=""),Assignments!$C$5:$C$124+ROW(Assignments!$C$5:$C$124)/100000,9^9),0)+4)-TODAY()),"")</f>
        <v/>
      </c>
      <c r="E36" s="10">
        <f>IFERROR(INDEX(Assignments!$G:$G,MATCH(SMALL(IF((Assignments!$C$5:$C$124&lt;&gt;"")*(Assignments!$I$5:$I$124=""),Assignments!$C$5:$C$124+ROW(Assignments!$C$5:$C$124)/100000,9^9),28),IF((Assignments!$C$5:$C$124&lt;&gt;"")*(Assignments!$I$5:$I$124=""),Assignments!$C$5:$C$124+ROW(Assignments!$C$5:$C$124)/100000,9^9),0)+4),"")</f>
        <v/>
      </c>
      <c r="F36" s="22">
        <f>IFERROR(INDEX(Assignments!$E:$E,MATCH(SMALL(IF((Assignments!$C$5:$C$124&lt;&gt;"")*(Assignments!$I$5:$I$124=""),Assignments!$C$5:$C$124+ROW(Assignments!$C$5:$C$124)/100000,9^9),28),IF((Assignments!$C$5:$C$124&lt;&gt;"")*(Assignments!$I$5:$I$124=""),Assignments!$C$5:$C$124+ROW(Assignments!$C$5:$C$124)/100000,9^9),0)+4),"")</f>
        <v/>
      </c>
      <c r="G36" s="22">
        <f>IFERROR(INDEX(Assignments!$F:$F,MATCH(SMALL(IF((Assignments!$C$5:$C$124&lt;&gt;"")*(Assignments!$I$5:$I$124=""),Assignments!$C$5:$C$124+ROW(Assignments!$C$5:$C$124)/100000,9^9),28),IF((Assignments!$C$5:$C$124&lt;&gt;"")*(Assignments!$I$5:$I$124=""),Assignments!$C$5:$C$124+ROW(Assignments!$C$5:$C$124)/100000,9^9),0)+4),"")</f>
        <v/>
      </c>
      <c r="H36" s="22">
        <f>IFERROR(INDEX(Assignments!$N:$N,MATCH(SMALL(IF((Assignments!$C$5:$C$124&lt;&gt;"")*(Assignments!$I$5:$I$124=""),Assignments!$C$5:$C$124+ROW(Assignments!$C$5:$C$124)/100000,9^9),28),IF((Assignments!$C$5:$C$124&lt;&gt;"")*(Assignments!$I$5:$I$124=""),Assignments!$C$5:$C$124+ROW(Assignments!$C$5:$C$124)/100000,9^9),0)+4),"")</f>
        <v/>
      </c>
    </row>
    <row r="37">
      <c r="B37" s="16" t="n">
        <v>29</v>
      </c>
      <c r="C37" s="15">
        <f>IFERROR(INDEX(Assignments!$C:$C,MATCH(SMALL(IF((Assignments!$C$5:$C$124&lt;&gt;"")*(Assignments!$I$5:$I$124=""),Assignments!$C$5:$C$124+ROW(Assignments!$C$5:$C$124)/100000,9^9),29),IF((Assignments!$C$5:$C$124&lt;&gt;"")*(Assignments!$I$5:$I$124=""),Assignments!$C$5:$C$124+ROW(Assignments!$C$5:$C$124)/100000,9^9),0)+4),"")</f>
        <v/>
      </c>
      <c r="D37" s="17">
        <f>IFERROR(IF(INDEX(Assignments!$C:$C,MATCH(SMALL(IF((Assignments!$C$5:$C$124&lt;&gt;"")*(Assignments!$I$5:$I$124=""),Assignments!$C$5:$C$124+ROW(Assignments!$C$5:$C$124)/100000,9^9),29),IF((Assignments!$C$5:$C$124&lt;&gt;"")*(Assignments!$I$5:$I$124=""),Assignments!$C$5:$C$124+ROW(Assignments!$C$5:$C$124)/100000,9^9),0)+4)="","",INDEX(Assignments!$C:$C,MATCH(SMALL(IF((Assignments!$C$5:$C$124&lt;&gt;"")*(Assignments!$I$5:$I$124=""),Assignments!$C$5:$C$124+ROW(Assignments!$C$5:$C$124)/100000,9^9),29),IF((Assignments!$C$5:$C$124&lt;&gt;"")*(Assignments!$I$5:$I$124=""),Assignments!$C$5:$C$124+ROW(Assignments!$C$5:$C$124)/100000,9^9),0)+4)-TODAY()),"")</f>
        <v/>
      </c>
      <c r="E37" s="8">
        <f>IFERROR(INDEX(Assignments!$G:$G,MATCH(SMALL(IF((Assignments!$C$5:$C$124&lt;&gt;"")*(Assignments!$I$5:$I$124=""),Assignments!$C$5:$C$124+ROW(Assignments!$C$5:$C$124)/100000,9^9),29),IF((Assignments!$C$5:$C$124&lt;&gt;"")*(Assignments!$I$5:$I$124=""),Assignments!$C$5:$C$124+ROW(Assignments!$C$5:$C$124)/100000,9^9),0)+4),"")</f>
        <v/>
      </c>
      <c r="F37" s="16">
        <f>IFERROR(INDEX(Assignments!$E:$E,MATCH(SMALL(IF((Assignments!$C$5:$C$124&lt;&gt;"")*(Assignments!$I$5:$I$124=""),Assignments!$C$5:$C$124+ROW(Assignments!$C$5:$C$124)/100000,9^9),29),IF((Assignments!$C$5:$C$124&lt;&gt;"")*(Assignments!$I$5:$I$124=""),Assignments!$C$5:$C$124+ROW(Assignments!$C$5:$C$124)/100000,9^9),0)+4),"")</f>
        <v/>
      </c>
      <c r="G37" s="16">
        <f>IFERROR(INDEX(Assignments!$F:$F,MATCH(SMALL(IF((Assignments!$C$5:$C$124&lt;&gt;"")*(Assignments!$I$5:$I$124=""),Assignments!$C$5:$C$124+ROW(Assignments!$C$5:$C$124)/100000,9^9),29),IF((Assignments!$C$5:$C$124&lt;&gt;"")*(Assignments!$I$5:$I$124=""),Assignments!$C$5:$C$124+ROW(Assignments!$C$5:$C$124)/100000,9^9),0)+4),"")</f>
        <v/>
      </c>
      <c r="H37" s="16">
        <f>IFERROR(INDEX(Assignments!$N:$N,MATCH(SMALL(IF((Assignments!$C$5:$C$124&lt;&gt;"")*(Assignments!$I$5:$I$124=""),Assignments!$C$5:$C$124+ROW(Assignments!$C$5:$C$124)/100000,9^9),29),IF((Assignments!$C$5:$C$124&lt;&gt;"")*(Assignments!$I$5:$I$124=""),Assignments!$C$5:$C$124+ROW(Assignments!$C$5:$C$124)/100000,9^9),0)+4),"")</f>
        <v/>
      </c>
    </row>
    <row r="38">
      <c r="B38" s="22" t="n">
        <v>30</v>
      </c>
      <c r="C38" s="21">
        <f>IFERROR(INDEX(Assignments!$C:$C,MATCH(SMALL(IF((Assignments!$C$5:$C$124&lt;&gt;"")*(Assignments!$I$5:$I$124=""),Assignments!$C$5:$C$124+ROW(Assignments!$C$5:$C$124)/100000,9^9),30),IF((Assignments!$C$5:$C$124&lt;&gt;"")*(Assignments!$I$5:$I$124=""),Assignments!$C$5:$C$124+ROW(Assignments!$C$5:$C$124)/100000,9^9),0)+4),"")</f>
        <v/>
      </c>
      <c r="D38" s="23">
        <f>IFERROR(IF(INDEX(Assignments!$C:$C,MATCH(SMALL(IF((Assignments!$C$5:$C$124&lt;&gt;"")*(Assignments!$I$5:$I$124=""),Assignments!$C$5:$C$124+ROW(Assignments!$C$5:$C$124)/100000,9^9),30),IF((Assignments!$C$5:$C$124&lt;&gt;"")*(Assignments!$I$5:$I$124=""),Assignments!$C$5:$C$124+ROW(Assignments!$C$5:$C$124)/100000,9^9),0)+4)="","",INDEX(Assignments!$C:$C,MATCH(SMALL(IF((Assignments!$C$5:$C$124&lt;&gt;"")*(Assignments!$I$5:$I$124=""),Assignments!$C$5:$C$124+ROW(Assignments!$C$5:$C$124)/100000,9^9),30),IF((Assignments!$C$5:$C$124&lt;&gt;"")*(Assignments!$I$5:$I$124=""),Assignments!$C$5:$C$124+ROW(Assignments!$C$5:$C$124)/100000,9^9),0)+4)-TODAY()),"")</f>
        <v/>
      </c>
      <c r="E38" s="10">
        <f>IFERROR(INDEX(Assignments!$G:$G,MATCH(SMALL(IF((Assignments!$C$5:$C$124&lt;&gt;"")*(Assignments!$I$5:$I$124=""),Assignments!$C$5:$C$124+ROW(Assignments!$C$5:$C$124)/100000,9^9),30),IF((Assignments!$C$5:$C$124&lt;&gt;"")*(Assignments!$I$5:$I$124=""),Assignments!$C$5:$C$124+ROW(Assignments!$C$5:$C$124)/100000,9^9),0)+4),"")</f>
        <v/>
      </c>
      <c r="F38" s="22">
        <f>IFERROR(INDEX(Assignments!$E:$E,MATCH(SMALL(IF((Assignments!$C$5:$C$124&lt;&gt;"")*(Assignments!$I$5:$I$124=""),Assignments!$C$5:$C$124+ROW(Assignments!$C$5:$C$124)/100000,9^9),30),IF((Assignments!$C$5:$C$124&lt;&gt;"")*(Assignments!$I$5:$I$124=""),Assignments!$C$5:$C$124+ROW(Assignments!$C$5:$C$124)/100000,9^9),0)+4),"")</f>
        <v/>
      </c>
      <c r="G38" s="22">
        <f>IFERROR(INDEX(Assignments!$F:$F,MATCH(SMALL(IF((Assignments!$C$5:$C$124&lt;&gt;"")*(Assignments!$I$5:$I$124=""),Assignments!$C$5:$C$124+ROW(Assignments!$C$5:$C$124)/100000,9^9),30),IF((Assignments!$C$5:$C$124&lt;&gt;"")*(Assignments!$I$5:$I$124=""),Assignments!$C$5:$C$124+ROW(Assignments!$C$5:$C$124)/100000,9^9),0)+4),"")</f>
        <v/>
      </c>
      <c r="H38" s="22">
        <f>IFERROR(INDEX(Assignments!$N:$N,MATCH(SMALL(IF((Assignments!$C$5:$C$124&lt;&gt;"")*(Assignments!$I$5:$I$124=""),Assignments!$C$5:$C$124+ROW(Assignments!$C$5:$C$124)/100000,9^9),30),IF((Assignments!$C$5:$C$124&lt;&gt;"")*(Assignments!$I$5:$I$124=""),Assignments!$C$5:$C$124+ROW(Assignments!$C$5:$C$124)/100000,9^9),0)+4),"")</f>
        <v/>
      </c>
    </row>
    <row r="39">
      <c r="B39" s="16" t="n">
        <v>31</v>
      </c>
      <c r="C39" s="15">
        <f>IFERROR(INDEX(Assignments!$C:$C,MATCH(SMALL(IF((Assignments!$C$5:$C$124&lt;&gt;"")*(Assignments!$I$5:$I$124=""),Assignments!$C$5:$C$124+ROW(Assignments!$C$5:$C$124)/100000,9^9),31),IF((Assignments!$C$5:$C$124&lt;&gt;"")*(Assignments!$I$5:$I$124=""),Assignments!$C$5:$C$124+ROW(Assignments!$C$5:$C$124)/100000,9^9),0)+4),"")</f>
        <v/>
      </c>
      <c r="D39" s="17">
        <f>IFERROR(IF(INDEX(Assignments!$C:$C,MATCH(SMALL(IF((Assignments!$C$5:$C$124&lt;&gt;"")*(Assignments!$I$5:$I$124=""),Assignments!$C$5:$C$124+ROW(Assignments!$C$5:$C$124)/100000,9^9),31),IF((Assignments!$C$5:$C$124&lt;&gt;"")*(Assignments!$I$5:$I$124=""),Assignments!$C$5:$C$124+ROW(Assignments!$C$5:$C$124)/100000,9^9),0)+4)="","",INDEX(Assignments!$C:$C,MATCH(SMALL(IF((Assignments!$C$5:$C$124&lt;&gt;"")*(Assignments!$I$5:$I$124=""),Assignments!$C$5:$C$124+ROW(Assignments!$C$5:$C$124)/100000,9^9),31),IF((Assignments!$C$5:$C$124&lt;&gt;"")*(Assignments!$I$5:$I$124=""),Assignments!$C$5:$C$124+ROW(Assignments!$C$5:$C$124)/100000,9^9),0)+4)-TODAY()),"")</f>
        <v/>
      </c>
      <c r="E39" s="8">
        <f>IFERROR(INDEX(Assignments!$G:$G,MATCH(SMALL(IF((Assignments!$C$5:$C$124&lt;&gt;"")*(Assignments!$I$5:$I$124=""),Assignments!$C$5:$C$124+ROW(Assignments!$C$5:$C$124)/100000,9^9),31),IF((Assignments!$C$5:$C$124&lt;&gt;"")*(Assignments!$I$5:$I$124=""),Assignments!$C$5:$C$124+ROW(Assignments!$C$5:$C$124)/100000,9^9),0)+4),"")</f>
        <v/>
      </c>
      <c r="F39" s="16">
        <f>IFERROR(INDEX(Assignments!$E:$E,MATCH(SMALL(IF((Assignments!$C$5:$C$124&lt;&gt;"")*(Assignments!$I$5:$I$124=""),Assignments!$C$5:$C$124+ROW(Assignments!$C$5:$C$124)/100000,9^9),31),IF((Assignments!$C$5:$C$124&lt;&gt;"")*(Assignments!$I$5:$I$124=""),Assignments!$C$5:$C$124+ROW(Assignments!$C$5:$C$124)/100000,9^9),0)+4),"")</f>
        <v/>
      </c>
      <c r="G39" s="16">
        <f>IFERROR(INDEX(Assignments!$F:$F,MATCH(SMALL(IF((Assignments!$C$5:$C$124&lt;&gt;"")*(Assignments!$I$5:$I$124=""),Assignments!$C$5:$C$124+ROW(Assignments!$C$5:$C$124)/100000,9^9),31),IF((Assignments!$C$5:$C$124&lt;&gt;"")*(Assignments!$I$5:$I$124=""),Assignments!$C$5:$C$124+ROW(Assignments!$C$5:$C$124)/100000,9^9),0)+4),"")</f>
        <v/>
      </c>
      <c r="H39" s="16">
        <f>IFERROR(INDEX(Assignments!$N:$N,MATCH(SMALL(IF((Assignments!$C$5:$C$124&lt;&gt;"")*(Assignments!$I$5:$I$124=""),Assignments!$C$5:$C$124+ROW(Assignments!$C$5:$C$124)/100000,9^9),31),IF((Assignments!$C$5:$C$124&lt;&gt;"")*(Assignments!$I$5:$I$124=""),Assignments!$C$5:$C$124+ROW(Assignments!$C$5:$C$124)/100000,9^9),0)+4),"")</f>
        <v/>
      </c>
    </row>
    <row r="40">
      <c r="B40" s="22" t="n">
        <v>32</v>
      </c>
      <c r="C40" s="21">
        <f>IFERROR(INDEX(Assignments!$C:$C,MATCH(SMALL(IF((Assignments!$C$5:$C$124&lt;&gt;"")*(Assignments!$I$5:$I$124=""),Assignments!$C$5:$C$124+ROW(Assignments!$C$5:$C$124)/100000,9^9),32),IF((Assignments!$C$5:$C$124&lt;&gt;"")*(Assignments!$I$5:$I$124=""),Assignments!$C$5:$C$124+ROW(Assignments!$C$5:$C$124)/100000,9^9),0)+4),"")</f>
        <v/>
      </c>
      <c r="D40" s="23">
        <f>IFERROR(IF(INDEX(Assignments!$C:$C,MATCH(SMALL(IF((Assignments!$C$5:$C$124&lt;&gt;"")*(Assignments!$I$5:$I$124=""),Assignments!$C$5:$C$124+ROW(Assignments!$C$5:$C$124)/100000,9^9),32),IF((Assignments!$C$5:$C$124&lt;&gt;"")*(Assignments!$I$5:$I$124=""),Assignments!$C$5:$C$124+ROW(Assignments!$C$5:$C$124)/100000,9^9),0)+4)="","",INDEX(Assignments!$C:$C,MATCH(SMALL(IF((Assignments!$C$5:$C$124&lt;&gt;"")*(Assignments!$I$5:$I$124=""),Assignments!$C$5:$C$124+ROW(Assignments!$C$5:$C$124)/100000,9^9),32),IF((Assignments!$C$5:$C$124&lt;&gt;"")*(Assignments!$I$5:$I$124=""),Assignments!$C$5:$C$124+ROW(Assignments!$C$5:$C$124)/100000,9^9),0)+4)-TODAY()),"")</f>
        <v/>
      </c>
      <c r="E40" s="10">
        <f>IFERROR(INDEX(Assignments!$G:$G,MATCH(SMALL(IF((Assignments!$C$5:$C$124&lt;&gt;"")*(Assignments!$I$5:$I$124=""),Assignments!$C$5:$C$124+ROW(Assignments!$C$5:$C$124)/100000,9^9),32),IF((Assignments!$C$5:$C$124&lt;&gt;"")*(Assignments!$I$5:$I$124=""),Assignments!$C$5:$C$124+ROW(Assignments!$C$5:$C$124)/100000,9^9),0)+4),"")</f>
        <v/>
      </c>
      <c r="F40" s="22">
        <f>IFERROR(INDEX(Assignments!$E:$E,MATCH(SMALL(IF((Assignments!$C$5:$C$124&lt;&gt;"")*(Assignments!$I$5:$I$124=""),Assignments!$C$5:$C$124+ROW(Assignments!$C$5:$C$124)/100000,9^9),32),IF((Assignments!$C$5:$C$124&lt;&gt;"")*(Assignments!$I$5:$I$124=""),Assignments!$C$5:$C$124+ROW(Assignments!$C$5:$C$124)/100000,9^9),0)+4),"")</f>
        <v/>
      </c>
      <c r="G40" s="22">
        <f>IFERROR(INDEX(Assignments!$F:$F,MATCH(SMALL(IF((Assignments!$C$5:$C$124&lt;&gt;"")*(Assignments!$I$5:$I$124=""),Assignments!$C$5:$C$124+ROW(Assignments!$C$5:$C$124)/100000,9^9),32),IF((Assignments!$C$5:$C$124&lt;&gt;"")*(Assignments!$I$5:$I$124=""),Assignments!$C$5:$C$124+ROW(Assignments!$C$5:$C$124)/100000,9^9),0)+4),"")</f>
        <v/>
      </c>
      <c r="H40" s="22">
        <f>IFERROR(INDEX(Assignments!$N:$N,MATCH(SMALL(IF((Assignments!$C$5:$C$124&lt;&gt;"")*(Assignments!$I$5:$I$124=""),Assignments!$C$5:$C$124+ROW(Assignments!$C$5:$C$124)/100000,9^9),32),IF((Assignments!$C$5:$C$124&lt;&gt;"")*(Assignments!$I$5:$I$124=""),Assignments!$C$5:$C$124+ROW(Assignments!$C$5:$C$124)/100000,9^9),0)+4),"")</f>
        <v/>
      </c>
    </row>
    <row r="41">
      <c r="B41" s="16" t="n">
        <v>33</v>
      </c>
      <c r="C41" s="15">
        <f>IFERROR(INDEX(Assignments!$C:$C,MATCH(SMALL(IF((Assignments!$C$5:$C$124&lt;&gt;"")*(Assignments!$I$5:$I$124=""),Assignments!$C$5:$C$124+ROW(Assignments!$C$5:$C$124)/100000,9^9),33),IF((Assignments!$C$5:$C$124&lt;&gt;"")*(Assignments!$I$5:$I$124=""),Assignments!$C$5:$C$124+ROW(Assignments!$C$5:$C$124)/100000,9^9),0)+4),"")</f>
        <v/>
      </c>
      <c r="D41" s="17">
        <f>IFERROR(IF(INDEX(Assignments!$C:$C,MATCH(SMALL(IF((Assignments!$C$5:$C$124&lt;&gt;"")*(Assignments!$I$5:$I$124=""),Assignments!$C$5:$C$124+ROW(Assignments!$C$5:$C$124)/100000,9^9),33),IF((Assignments!$C$5:$C$124&lt;&gt;"")*(Assignments!$I$5:$I$124=""),Assignments!$C$5:$C$124+ROW(Assignments!$C$5:$C$124)/100000,9^9),0)+4)="","",INDEX(Assignments!$C:$C,MATCH(SMALL(IF((Assignments!$C$5:$C$124&lt;&gt;"")*(Assignments!$I$5:$I$124=""),Assignments!$C$5:$C$124+ROW(Assignments!$C$5:$C$124)/100000,9^9),33),IF((Assignments!$C$5:$C$124&lt;&gt;"")*(Assignments!$I$5:$I$124=""),Assignments!$C$5:$C$124+ROW(Assignments!$C$5:$C$124)/100000,9^9),0)+4)-TODAY()),"")</f>
        <v/>
      </c>
      <c r="E41" s="8">
        <f>IFERROR(INDEX(Assignments!$G:$G,MATCH(SMALL(IF((Assignments!$C$5:$C$124&lt;&gt;"")*(Assignments!$I$5:$I$124=""),Assignments!$C$5:$C$124+ROW(Assignments!$C$5:$C$124)/100000,9^9),33),IF((Assignments!$C$5:$C$124&lt;&gt;"")*(Assignments!$I$5:$I$124=""),Assignments!$C$5:$C$124+ROW(Assignments!$C$5:$C$124)/100000,9^9),0)+4),"")</f>
        <v/>
      </c>
      <c r="F41" s="16">
        <f>IFERROR(INDEX(Assignments!$E:$E,MATCH(SMALL(IF((Assignments!$C$5:$C$124&lt;&gt;"")*(Assignments!$I$5:$I$124=""),Assignments!$C$5:$C$124+ROW(Assignments!$C$5:$C$124)/100000,9^9),33),IF((Assignments!$C$5:$C$124&lt;&gt;"")*(Assignments!$I$5:$I$124=""),Assignments!$C$5:$C$124+ROW(Assignments!$C$5:$C$124)/100000,9^9),0)+4),"")</f>
        <v/>
      </c>
      <c r="G41" s="16">
        <f>IFERROR(INDEX(Assignments!$F:$F,MATCH(SMALL(IF((Assignments!$C$5:$C$124&lt;&gt;"")*(Assignments!$I$5:$I$124=""),Assignments!$C$5:$C$124+ROW(Assignments!$C$5:$C$124)/100000,9^9),33),IF((Assignments!$C$5:$C$124&lt;&gt;"")*(Assignments!$I$5:$I$124=""),Assignments!$C$5:$C$124+ROW(Assignments!$C$5:$C$124)/100000,9^9),0)+4),"")</f>
        <v/>
      </c>
      <c r="H41" s="16">
        <f>IFERROR(INDEX(Assignments!$N:$N,MATCH(SMALL(IF((Assignments!$C$5:$C$124&lt;&gt;"")*(Assignments!$I$5:$I$124=""),Assignments!$C$5:$C$124+ROW(Assignments!$C$5:$C$124)/100000,9^9),33),IF((Assignments!$C$5:$C$124&lt;&gt;"")*(Assignments!$I$5:$I$124=""),Assignments!$C$5:$C$124+ROW(Assignments!$C$5:$C$124)/100000,9^9),0)+4),"")</f>
        <v/>
      </c>
    </row>
    <row r="42">
      <c r="B42" s="22" t="n">
        <v>34</v>
      </c>
      <c r="C42" s="21">
        <f>IFERROR(INDEX(Assignments!$C:$C,MATCH(SMALL(IF((Assignments!$C$5:$C$124&lt;&gt;"")*(Assignments!$I$5:$I$124=""),Assignments!$C$5:$C$124+ROW(Assignments!$C$5:$C$124)/100000,9^9),34),IF((Assignments!$C$5:$C$124&lt;&gt;"")*(Assignments!$I$5:$I$124=""),Assignments!$C$5:$C$124+ROW(Assignments!$C$5:$C$124)/100000,9^9),0)+4),"")</f>
        <v/>
      </c>
      <c r="D42" s="23">
        <f>IFERROR(IF(INDEX(Assignments!$C:$C,MATCH(SMALL(IF((Assignments!$C$5:$C$124&lt;&gt;"")*(Assignments!$I$5:$I$124=""),Assignments!$C$5:$C$124+ROW(Assignments!$C$5:$C$124)/100000,9^9),34),IF((Assignments!$C$5:$C$124&lt;&gt;"")*(Assignments!$I$5:$I$124=""),Assignments!$C$5:$C$124+ROW(Assignments!$C$5:$C$124)/100000,9^9),0)+4)="","",INDEX(Assignments!$C:$C,MATCH(SMALL(IF((Assignments!$C$5:$C$124&lt;&gt;"")*(Assignments!$I$5:$I$124=""),Assignments!$C$5:$C$124+ROW(Assignments!$C$5:$C$124)/100000,9^9),34),IF((Assignments!$C$5:$C$124&lt;&gt;"")*(Assignments!$I$5:$I$124=""),Assignments!$C$5:$C$124+ROW(Assignments!$C$5:$C$124)/100000,9^9),0)+4)-TODAY()),"")</f>
        <v/>
      </c>
      <c r="E42" s="10">
        <f>IFERROR(INDEX(Assignments!$G:$G,MATCH(SMALL(IF((Assignments!$C$5:$C$124&lt;&gt;"")*(Assignments!$I$5:$I$124=""),Assignments!$C$5:$C$124+ROW(Assignments!$C$5:$C$124)/100000,9^9),34),IF((Assignments!$C$5:$C$124&lt;&gt;"")*(Assignments!$I$5:$I$124=""),Assignments!$C$5:$C$124+ROW(Assignments!$C$5:$C$124)/100000,9^9),0)+4),"")</f>
        <v/>
      </c>
      <c r="F42" s="22">
        <f>IFERROR(INDEX(Assignments!$E:$E,MATCH(SMALL(IF((Assignments!$C$5:$C$124&lt;&gt;"")*(Assignments!$I$5:$I$124=""),Assignments!$C$5:$C$124+ROW(Assignments!$C$5:$C$124)/100000,9^9),34),IF((Assignments!$C$5:$C$124&lt;&gt;"")*(Assignments!$I$5:$I$124=""),Assignments!$C$5:$C$124+ROW(Assignments!$C$5:$C$124)/100000,9^9),0)+4),"")</f>
        <v/>
      </c>
      <c r="G42" s="22">
        <f>IFERROR(INDEX(Assignments!$F:$F,MATCH(SMALL(IF((Assignments!$C$5:$C$124&lt;&gt;"")*(Assignments!$I$5:$I$124=""),Assignments!$C$5:$C$124+ROW(Assignments!$C$5:$C$124)/100000,9^9),34),IF((Assignments!$C$5:$C$124&lt;&gt;"")*(Assignments!$I$5:$I$124=""),Assignments!$C$5:$C$124+ROW(Assignments!$C$5:$C$124)/100000,9^9),0)+4),"")</f>
        <v/>
      </c>
      <c r="H42" s="22">
        <f>IFERROR(INDEX(Assignments!$N:$N,MATCH(SMALL(IF((Assignments!$C$5:$C$124&lt;&gt;"")*(Assignments!$I$5:$I$124=""),Assignments!$C$5:$C$124+ROW(Assignments!$C$5:$C$124)/100000,9^9),34),IF((Assignments!$C$5:$C$124&lt;&gt;"")*(Assignments!$I$5:$I$124=""),Assignments!$C$5:$C$124+ROW(Assignments!$C$5:$C$124)/100000,9^9),0)+4),"")</f>
        <v/>
      </c>
    </row>
    <row r="43">
      <c r="B43" s="16" t="n">
        <v>35</v>
      </c>
      <c r="C43" s="15">
        <f>IFERROR(INDEX(Assignments!$C:$C,MATCH(SMALL(IF((Assignments!$C$5:$C$124&lt;&gt;"")*(Assignments!$I$5:$I$124=""),Assignments!$C$5:$C$124+ROW(Assignments!$C$5:$C$124)/100000,9^9),35),IF((Assignments!$C$5:$C$124&lt;&gt;"")*(Assignments!$I$5:$I$124=""),Assignments!$C$5:$C$124+ROW(Assignments!$C$5:$C$124)/100000,9^9),0)+4),"")</f>
        <v/>
      </c>
      <c r="D43" s="17">
        <f>IFERROR(IF(INDEX(Assignments!$C:$C,MATCH(SMALL(IF((Assignments!$C$5:$C$124&lt;&gt;"")*(Assignments!$I$5:$I$124=""),Assignments!$C$5:$C$124+ROW(Assignments!$C$5:$C$124)/100000,9^9),35),IF((Assignments!$C$5:$C$124&lt;&gt;"")*(Assignments!$I$5:$I$124=""),Assignments!$C$5:$C$124+ROW(Assignments!$C$5:$C$124)/100000,9^9),0)+4)="","",INDEX(Assignments!$C:$C,MATCH(SMALL(IF((Assignments!$C$5:$C$124&lt;&gt;"")*(Assignments!$I$5:$I$124=""),Assignments!$C$5:$C$124+ROW(Assignments!$C$5:$C$124)/100000,9^9),35),IF((Assignments!$C$5:$C$124&lt;&gt;"")*(Assignments!$I$5:$I$124=""),Assignments!$C$5:$C$124+ROW(Assignments!$C$5:$C$124)/100000,9^9),0)+4)-TODAY()),"")</f>
        <v/>
      </c>
      <c r="E43" s="8">
        <f>IFERROR(INDEX(Assignments!$G:$G,MATCH(SMALL(IF((Assignments!$C$5:$C$124&lt;&gt;"")*(Assignments!$I$5:$I$124=""),Assignments!$C$5:$C$124+ROW(Assignments!$C$5:$C$124)/100000,9^9),35),IF((Assignments!$C$5:$C$124&lt;&gt;"")*(Assignments!$I$5:$I$124=""),Assignments!$C$5:$C$124+ROW(Assignments!$C$5:$C$124)/100000,9^9),0)+4),"")</f>
        <v/>
      </c>
      <c r="F43" s="16">
        <f>IFERROR(INDEX(Assignments!$E:$E,MATCH(SMALL(IF((Assignments!$C$5:$C$124&lt;&gt;"")*(Assignments!$I$5:$I$124=""),Assignments!$C$5:$C$124+ROW(Assignments!$C$5:$C$124)/100000,9^9),35),IF((Assignments!$C$5:$C$124&lt;&gt;"")*(Assignments!$I$5:$I$124=""),Assignments!$C$5:$C$124+ROW(Assignments!$C$5:$C$124)/100000,9^9),0)+4),"")</f>
        <v/>
      </c>
      <c r="G43" s="16">
        <f>IFERROR(INDEX(Assignments!$F:$F,MATCH(SMALL(IF((Assignments!$C$5:$C$124&lt;&gt;"")*(Assignments!$I$5:$I$124=""),Assignments!$C$5:$C$124+ROW(Assignments!$C$5:$C$124)/100000,9^9),35),IF((Assignments!$C$5:$C$124&lt;&gt;"")*(Assignments!$I$5:$I$124=""),Assignments!$C$5:$C$124+ROW(Assignments!$C$5:$C$124)/100000,9^9),0)+4),"")</f>
        <v/>
      </c>
      <c r="H43" s="16">
        <f>IFERROR(INDEX(Assignments!$N:$N,MATCH(SMALL(IF((Assignments!$C$5:$C$124&lt;&gt;"")*(Assignments!$I$5:$I$124=""),Assignments!$C$5:$C$124+ROW(Assignments!$C$5:$C$124)/100000,9^9),35),IF((Assignments!$C$5:$C$124&lt;&gt;"")*(Assignments!$I$5:$I$124=""),Assignments!$C$5:$C$124+ROW(Assignments!$C$5:$C$124)/100000,9^9),0)+4),"")</f>
        <v/>
      </c>
    </row>
    <row r="44">
      <c r="B44" s="22" t="n">
        <v>36</v>
      </c>
      <c r="C44" s="21">
        <f>IFERROR(INDEX(Assignments!$C:$C,MATCH(SMALL(IF((Assignments!$C$5:$C$124&lt;&gt;"")*(Assignments!$I$5:$I$124=""),Assignments!$C$5:$C$124+ROW(Assignments!$C$5:$C$124)/100000,9^9),36),IF((Assignments!$C$5:$C$124&lt;&gt;"")*(Assignments!$I$5:$I$124=""),Assignments!$C$5:$C$124+ROW(Assignments!$C$5:$C$124)/100000,9^9),0)+4),"")</f>
        <v/>
      </c>
      <c r="D44" s="23">
        <f>IFERROR(IF(INDEX(Assignments!$C:$C,MATCH(SMALL(IF((Assignments!$C$5:$C$124&lt;&gt;"")*(Assignments!$I$5:$I$124=""),Assignments!$C$5:$C$124+ROW(Assignments!$C$5:$C$124)/100000,9^9),36),IF((Assignments!$C$5:$C$124&lt;&gt;"")*(Assignments!$I$5:$I$124=""),Assignments!$C$5:$C$124+ROW(Assignments!$C$5:$C$124)/100000,9^9),0)+4)="","",INDEX(Assignments!$C:$C,MATCH(SMALL(IF((Assignments!$C$5:$C$124&lt;&gt;"")*(Assignments!$I$5:$I$124=""),Assignments!$C$5:$C$124+ROW(Assignments!$C$5:$C$124)/100000,9^9),36),IF((Assignments!$C$5:$C$124&lt;&gt;"")*(Assignments!$I$5:$I$124=""),Assignments!$C$5:$C$124+ROW(Assignments!$C$5:$C$124)/100000,9^9),0)+4)-TODAY()),"")</f>
        <v/>
      </c>
      <c r="E44" s="10">
        <f>IFERROR(INDEX(Assignments!$G:$G,MATCH(SMALL(IF((Assignments!$C$5:$C$124&lt;&gt;"")*(Assignments!$I$5:$I$124=""),Assignments!$C$5:$C$124+ROW(Assignments!$C$5:$C$124)/100000,9^9),36),IF((Assignments!$C$5:$C$124&lt;&gt;"")*(Assignments!$I$5:$I$124=""),Assignments!$C$5:$C$124+ROW(Assignments!$C$5:$C$124)/100000,9^9),0)+4),"")</f>
        <v/>
      </c>
      <c r="F44" s="22">
        <f>IFERROR(INDEX(Assignments!$E:$E,MATCH(SMALL(IF((Assignments!$C$5:$C$124&lt;&gt;"")*(Assignments!$I$5:$I$124=""),Assignments!$C$5:$C$124+ROW(Assignments!$C$5:$C$124)/100000,9^9),36),IF((Assignments!$C$5:$C$124&lt;&gt;"")*(Assignments!$I$5:$I$124=""),Assignments!$C$5:$C$124+ROW(Assignments!$C$5:$C$124)/100000,9^9),0)+4),"")</f>
        <v/>
      </c>
      <c r="G44" s="22">
        <f>IFERROR(INDEX(Assignments!$F:$F,MATCH(SMALL(IF((Assignments!$C$5:$C$124&lt;&gt;"")*(Assignments!$I$5:$I$124=""),Assignments!$C$5:$C$124+ROW(Assignments!$C$5:$C$124)/100000,9^9),36),IF((Assignments!$C$5:$C$124&lt;&gt;"")*(Assignments!$I$5:$I$124=""),Assignments!$C$5:$C$124+ROW(Assignments!$C$5:$C$124)/100000,9^9),0)+4),"")</f>
        <v/>
      </c>
      <c r="H44" s="22">
        <f>IFERROR(INDEX(Assignments!$N:$N,MATCH(SMALL(IF((Assignments!$C$5:$C$124&lt;&gt;"")*(Assignments!$I$5:$I$124=""),Assignments!$C$5:$C$124+ROW(Assignments!$C$5:$C$124)/100000,9^9),36),IF((Assignments!$C$5:$C$124&lt;&gt;"")*(Assignments!$I$5:$I$124=""),Assignments!$C$5:$C$124+ROW(Assignments!$C$5:$C$124)/100000,9^9),0)+4),"")</f>
        <v/>
      </c>
    </row>
    <row r="45">
      <c r="B45" s="16" t="n">
        <v>37</v>
      </c>
      <c r="C45" s="15">
        <f>IFERROR(INDEX(Assignments!$C:$C,MATCH(SMALL(IF((Assignments!$C$5:$C$124&lt;&gt;"")*(Assignments!$I$5:$I$124=""),Assignments!$C$5:$C$124+ROW(Assignments!$C$5:$C$124)/100000,9^9),37),IF((Assignments!$C$5:$C$124&lt;&gt;"")*(Assignments!$I$5:$I$124=""),Assignments!$C$5:$C$124+ROW(Assignments!$C$5:$C$124)/100000,9^9),0)+4),"")</f>
        <v/>
      </c>
      <c r="D45" s="17">
        <f>IFERROR(IF(INDEX(Assignments!$C:$C,MATCH(SMALL(IF((Assignments!$C$5:$C$124&lt;&gt;"")*(Assignments!$I$5:$I$124=""),Assignments!$C$5:$C$124+ROW(Assignments!$C$5:$C$124)/100000,9^9),37),IF((Assignments!$C$5:$C$124&lt;&gt;"")*(Assignments!$I$5:$I$124=""),Assignments!$C$5:$C$124+ROW(Assignments!$C$5:$C$124)/100000,9^9),0)+4)="","",INDEX(Assignments!$C:$C,MATCH(SMALL(IF((Assignments!$C$5:$C$124&lt;&gt;"")*(Assignments!$I$5:$I$124=""),Assignments!$C$5:$C$124+ROW(Assignments!$C$5:$C$124)/100000,9^9),37),IF((Assignments!$C$5:$C$124&lt;&gt;"")*(Assignments!$I$5:$I$124=""),Assignments!$C$5:$C$124+ROW(Assignments!$C$5:$C$124)/100000,9^9),0)+4)-TODAY()),"")</f>
        <v/>
      </c>
      <c r="E45" s="8">
        <f>IFERROR(INDEX(Assignments!$G:$G,MATCH(SMALL(IF((Assignments!$C$5:$C$124&lt;&gt;"")*(Assignments!$I$5:$I$124=""),Assignments!$C$5:$C$124+ROW(Assignments!$C$5:$C$124)/100000,9^9),37),IF((Assignments!$C$5:$C$124&lt;&gt;"")*(Assignments!$I$5:$I$124=""),Assignments!$C$5:$C$124+ROW(Assignments!$C$5:$C$124)/100000,9^9),0)+4),"")</f>
        <v/>
      </c>
      <c r="F45" s="16">
        <f>IFERROR(INDEX(Assignments!$E:$E,MATCH(SMALL(IF((Assignments!$C$5:$C$124&lt;&gt;"")*(Assignments!$I$5:$I$124=""),Assignments!$C$5:$C$124+ROW(Assignments!$C$5:$C$124)/100000,9^9),37),IF((Assignments!$C$5:$C$124&lt;&gt;"")*(Assignments!$I$5:$I$124=""),Assignments!$C$5:$C$124+ROW(Assignments!$C$5:$C$124)/100000,9^9),0)+4),"")</f>
        <v/>
      </c>
      <c r="G45" s="16">
        <f>IFERROR(INDEX(Assignments!$F:$F,MATCH(SMALL(IF((Assignments!$C$5:$C$124&lt;&gt;"")*(Assignments!$I$5:$I$124=""),Assignments!$C$5:$C$124+ROW(Assignments!$C$5:$C$124)/100000,9^9),37),IF((Assignments!$C$5:$C$124&lt;&gt;"")*(Assignments!$I$5:$I$124=""),Assignments!$C$5:$C$124+ROW(Assignments!$C$5:$C$124)/100000,9^9),0)+4),"")</f>
        <v/>
      </c>
      <c r="H45" s="16">
        <f>IFERROR(INDEX(Assignments!$N:$N,MATCH(SMALL(IF((Assignments!$C$5:$C$124&lt;&gt;"")*(Assignments!$I$5:$I$124=""),Assignments!$C$5:$C$124+ROW(Assignments!$C$5:$C$124)/100000,9^9),37),IF((Assignments!$C$5:$C$124&lt;&gt;"")*(Assignments!$I$5:$I$124=""),Assignments!$C$5:$C$124+ROW(Assignments!$C$5:$C$124)/100000,9^9),0)+4),"")</f>
        <v/>
      </c>
    </row>
    <row r="46">
      <c r="B46" s="22" t="n">
        <v>38</v>
      </c>
      <c r="C46" s="21">
        <f>IFERROR(INDEX(Assignments!$C:$C,MATCH(SMALL(IF((Assignments!$C$5:$C$124&lt;&gt;"")*(Assignments!$I$5:$I$124=""),Assignments!$C$5:$C$124+ROW(Assignments!$C$5:$C$124)/100000,9^9),38),IF((Assignments!$C$5:$C$124&lt;&gt;"")*(Assignments!$I$5:$I$124=""),Assignments!$C$5:$C$124+ROW(Assignments!$C$5:$C$124)/100000,9^9),0)+4),"")</f>
        <v/>
      </c>
      <c r="D46" s="23">
        <f>IFERROR(IF(INDEX(Assignments!$C:$C,MATCH(SMALL(IF((Assignments!$C$5:$C$124&lt;&gt;"")*(Assignments!$I$5:$I$124=""),Assignments!$C$5:$C$124+ROW(Assignments!$C$5:$C$124)/100000,9^9),38),IF((Assignments!$C$5:$C$124&lt;&gt;"")*(Assignments!$I$5:$I$124=""),Assignments!$C$5:$C$124+ROW(Assignments!$C$5:$C$124)/100000,9^9),0)+4)="","",INDEX(Assignments!$C:$C,MATCH(SMALL(IF((Assignments!$C$5:$C$124&lt;&gt;"")*(Assignments!$I$5:$I$124=""),Assignments!$C$5:$C$124+ROW(Assignments!$C$5:$C$124)/100000,9^9),38),IF((Assignments!$C$5:$C$124&lt;&gt;"")*(Assignments!$I$5:$I$124=""),Assignments!$C$5:$C$124+ROW(Assignments!$C$5:$C$124)/100000,9^9),0)+4)-TODAY()),"")</f>
        <v/>
      </c>
      <c r="E46" s="10">
        <f>IFERROR(INDEX(Assignments!$G:$G,MATCH(SMALL(IF((Assignments!$C$5:$C$124&lt;&gt;"")*(Assignments!$I$5:$I$124=""),Assignments!$C$5:$C$124+ROW(Assignments!$C$5:$C$124)/100000,9^9),38),IF((Assignments!$C$5:$C$124&lt;&gt;"")*(Assignments!$I$5:$I$124=""),Assignments!$C$5:$C$124+ROW(Assignments!$C$5:$C$124)/100000,9^9),0)+4),"")</f>
        <v/>
      </c>
      <c r="F46" s="22">
        <f>IFERROR(INDEX(Assignments!$E:$E,MATCH(SMALL(IF((Assignments!$C$5:$C$124&lt;&gt;"")*(Assignments!$I$5:$I$124=""),Assignments!$C$5:$C$124+ROW(Assignments!$C$5:$C$124)/100000,9^9),38),IF((Assignments!$C$5:$C$124&lt;&gt;"")*(Assignments!$I$5:$I$124=""),Assignments!$C$5:$C$124+ROW(Assignments!$C$5:$C$124)/100000,9^9),0)+4),"")</f>
        <v/>
      </c>
      <c r="G46" s="22">
        <f>IFERROR(INDEX(Assignments!$F:$F,MATCH(SMALL(IF((Assignments!$C$5:$C$124&lt;&gt;"")*(Assignments!$I$5:$I$124=""),Assignments!$C$5:$C$124+ROW(Assignments!$C$5:$C$124)/100000,9^9),38),IF((Assignments!$C$5:$C$124&lt;&gt;"")*(Assignments!$I$5:$I$124=""),Assignments!$C$5:$C$124+ROW(Assignments!$C$5:$C$124)/100000,9^9),0)+4),"")</f>
        <v/>
      </c>
      <c r="H46" s="22">
        <f>IFERROR(INDEX(Assignments!$N:$N,MATCH(SMALL(IF((Assignments!$C$5:$C$124&lt;&gt;"")*(Assignments!$I$5:$I$124=""),Assignments!$C$5:$C$124+ROW(Assignments!$C$5:$C$124)/100000,9^9),38),IF((Assignments!$C$5:$C$124&lt;&gt;"")*(Assignments!$I$5:$I$124=""),Assignments!$C$5:$C$124+ROW(Assignments!$C$5:$C$124)/100000,9^9),0)+4),"")</f>
        <v/>
      </c>
    </row>
    <row r="47">
      <c r="B47" s="16" t="n">
        <v>39</v>
      </c>
      <c r="C47" s="15">
        <f>IFERROR(INDEX(Assignments!$C:$C,MATCH(SMALL(IF((Assignments!$C$5:$C$124&lt;&gt;"")*(Assignments!$I$5:$I$124=""),Assignments!$C$5:$C$124+ROW(Assignments!$C$5:$C$124)/100000,9^9),39),IF((Assignments!$C$5:$C$124&lt;&gt;"")*(Assignments!$I$5:$I$124=""),Assignments!$C$5:$C$124+ROW(Assignments!$C$5:$C$124)/100000,9^9),0)+4),"")</f>
        <v/>
      </c>
      <c r="D47" s="17">
        <f>IFERROR(IF(INDEX(Assignments!$C:$C,MATCH(SMALL(IF((Assignments!$C$5:$C$124&lt;&gt;"")*(Assignments!$I$5:$I$124=""),Assignments!$C$5:$C$124+ROW(Assignments!$C$5:$C$124)/100000,9^9),39),IF((Assignments!$C$5:$C$124&lt;&gt;"")*(Assignments!$I$5:$I$124=""),Assignments!$C$5:$C$124+ROW(Assignments!$C$5:$C$124)/100000,9^9),0)+4)="","",INDEX(Assignments!$C:$C,MATCH(SMALL(IF((Assignments!$C$5:$C$124&lt;&gt;"")*(Assignments!$I$5:$I$124=""),Assignments!$C$5:$C$124+ROW(Assignments!$C$5:$C$124)/100000,9^9),39),IF((Assignments!$C$5:$C$124&lt;&gt;"")*(Assignments!$I$5:$I$124=""),Assignments!$C$5:$C$124+ROW(Assignments!$C$5:$C$124)/100000,9^9),0)+4)-TODAY()),"")</f>
        <v/>
      </c>
      <c r="E47" s="8">
        <f>IFERROR(INDEX(Assignments!$G:$G,MATCH(SMALL(IF((Assignments!$C$5:$C$124&lt;&gt;"")*(Assignments!$I$5:$I$124=""),Assignments!$C$5:$C$124+ROW(Assignments!$C$5:$C$124)/100000,9^9),39),IF((Assignments!$C$5:$C$124&lt;&gt;"")*(Assignments!$I$5:$I$124=""),Assignments!$C$5:$C$124+ROW(Assignments!$C$5:$C$124)/100000,9^9),0)+4),"")</f>
        <v/>
      </c>
      <c r="F47" s="16">
        <f>IFERROR(INDEX(Assignments!$E:$E,MATCH(SMALL(IF((Assignments!$C$5:$C$124&lt;&gt;"")*(Assignments!$I$5:$I$124=""),Assignments!$C$5:$C$124+ROW(Assignments!$C$5:$C$124)/100000,9^9),39),IF((Assignments!$C$5:$C$124&lt;&gt;"")*(Assignments!$I$5:$I$124=""),Assignments!$C$5:$C$124+ROW(Assignments!$C$5:$C$124)/100000,9^9),0)+4),"")</f>
        <v/>
      </c>
      <c r="G47" s="16">
        <f>IFERROR(INDEX(Assignments!$F:$F,MATCH(SMALL(IF((Assignments!$C$5:$C$124&lt;&gt;"")*(Assignments!$I$5:$I$124=""),Assignments!$C$5:$C$124+ROW(Assignments!$C$5:$C$124)/100000,9^9),39),IF((Assignments!$C$5:$C$124&lt;&gt;"")*(Assignments!$I$5:$I$124=""),Assignments!$C$5:$C$124+ROW(Assignments!$C$5:$C$124)/100000,9^9),0)+4),"")</f>
        <v/>
      </c>
      <c r="H47" s="16">
        <f>IFERROR(INDEX(Assignments!$N:$N,MATCH(SMALL(IF((Assignments!$C$5:$C$124&lt;&gt;"")*(Assignments!$I$5:$I$124=""),Assignments!$C$5:$C$124+ROW(Assignments!$C$5:$C$124)/100000,9^9),39),IF((Assignments!$C$5:$C$124&lt;&gt;"")*(Assignments!$I$5:$I$124=""),Assignments!$C$5:$C$124+ROW(Assignments!$C$5:$C$124)/100000,9^9),0)+4),"")</f>
        <v/>
      </c>
    </row>
    <row r="48">
      <c r="B48" s="22" t="n">
        <v>40</v>
      </c>
      <c r="C48" s="21">
        <f>IFERROR(INDEX(Assignments!$C:$C,MATCH(SMALL(IF((Assignments!$C$5:$C$124&lt;&gt;"")*(Assignments!$I$5:$I$124=""),Assignments!$C$5:$C$124+ROW(Assignments!$C$5:$C$124)/100000,9^9),40),IF((Assignments!$C$5:$C$124&lt;&gt;"")*(Assignments!$I$5:$I$124=""),Assignments!$C$5:$C$124+ROW(Assignments!$C$5:$C$124)/100000,9^9),0)+4),"")</f>
        <v/>
      </c>
      <c r="D48" s="23">
        <f>IFERROR(IF(INDEX(Assignments!$C:$C,MATCH(SMALL(IF((Assignments!$C$5:$C$124&lt;&gt;"")*(Assignments!$I$5:$I$124=""),Assignments!$C$5:$C$124+ROW(Assignments!$C$5:$C$124)/100000,9^9),40),IF((Assignments!$C$5:$C$124&lt;&gt;"")*(Assignments!$I$5:$I$124=""),Assignments!$C$5:$C$124+ROW(Assignments!$C$5:$C$124)/100000,9^9),0)+4)="","",INDEX(Assignments!$C:$C,MATCH(SMALL(IF((Assignments!$C$5:$C$124&lt;&gt;"")*(Assignments!$I$5:$I$124=""),Assignments!$C$5:$C$124+ROW(Assignments!$C$5:$C$124)/100000,9^9),40),IF((Assignments!$C$5:$C$124&lt;&gt;"")*(Assignments!$I$5:$I$124=""),Assignments!$C$5:$C$124+ROW(Assignments!$C$5:$C$124)/100000,9^9),0)+4)-TODAY()),"")</f>
        <v/>
      </c>
      <c r="E48" s="10">
        <f>IFERROR(INDEX(Assignments!$G:$G,MATCH(SMALL(IF((Assignments!$C$5:$C$124&lt;&gt;"")*(Assignments!$I$5:$I$124=""),Assignments!$C$5:$C$124+ROW(Assignments!$C$5:$C$124)/100000,9^9),40),IF((Assignments!$C$5:$C$124&lt;&gt;"")*(Assignments!$I$5:$I$124=""),Assignments!$C$5:$C$124+ROW(Assignments!$C$5:$C$124)/100000,9^9),0)+4),"")</f>
        <v/>
      </c>
      <c r="F48" s="22">
        <f>IFERROR(INDEX(Assignments!$E:$E,MATCH(SMALL(IF((Assignments!$C$5:$C$124&lt;&gt;"")*(Assignments!$I$5:$I$124=""),Assignments!$C$5:$C$124+ROW(Assignments!$C$5:$C$124)/100000,9^9),40),IF((Assignments!$C$5:$C$124&lt;&gt;"")*(Assignments!$I$5:$I$124=""),Assignments!$C$5:$C$124+ROW(Assignments!$C$5:$C$124)/100000,9^9),0)+4),"")</f>
        <v/>
      </c>
      <c r="G48" s="22">
        <f>IFERROR(INDEX(Assignments!$F:$F,MATCH(SMALL(IF((Assignments!$C$5:$C$124&lt;&gt;"")*(Assignments!$I$5:$I$124=""),Assignments!$C$5:$C$124+ROW(Assignments!$C$5:$C$124)/100000,9^9),40),IF((Assignments!$C$5:$C$124&lt;&gt;"")*(Assignments!$I$5:$I$124=""),Assignments!$C$5:$C$124+ROW(Assignments!$C$5:$C$124)/100000,9^9),0)+4),"")</f>
        <v/>
      </c>
      <c r="H48" s="22">
        <f>IFERROR(INDEX(Assignments!$N:$N,MATCH(SMALL(IF((Assignments!$C$5:$C$124&lt;&gt;"")*(Assignments!$I$5:$I$124=""),Assignments!$C$5:$C$124+ROW(Assignments!$C$5:$C$124)/100000,9^9),40),IF((Assignments!$C$5:$C$124&lt;&gt;"")*(Assignments!$I$5:$I$124=""),Assignments!$C$5:$C$124+ROW(Assignments!$C$5:$C$124)/100000,9^9),0)+4),"")</f>
        <v/>
      </c>
    </row>
    <row r="49">
      <c r="B49" s="16" t="n">
        <v>41</v>
      </c>
      <c r="C49" s="15">
        <f>IFERROR(INDEX(Assignments!$C:$C,MATCH(SMALL(IF((Assignments!$C$5:$C$124&lt;&gt;"")*(Assignments!$I$5:$I$124=""),Assignments!$C$5:$C$124+ROW(Assignments!$C$5:$C$124)/100000,9^9),41),IF((Assignments!$C$5:$C$124&lt;&gt;"")*(Assignments!$I$5:$I$124=""),Assignments!$C$5:$C$124+ROW(Assignments!$C$5:$C$124)/100000,9^9),0)+4),"")</f>
        <v/>
      </c>
      <c r="D49" s="17">
        <f>IFERROR(IF(INDEX(Assignments!$C:$C,MATCH(SMALL(IF((Assignments!$C$5:$C$124&lt;&gt;"")*(Assignments!$I$5:$I$124=""),Assignments!$C$5:$C$124+ROW(Assignments!$C$5:$C$124)/100000,9^9),41),IF((Assignments!$C$5:$C$124&lt;&gt;"")*(Assignments!$I$5:$I$124=""),Assignments!$C$5:$C$124+ROW(Assignments!$C$5:$C$124)/100000,9^9),0)+4)="","",INDEX(Assignments!$C:$C,MATCH(SMALL(IF((Assignments!$C$5:$C$124&lt;&gt;"")*(Assignments!$I$5:$I$124=""),Assignments!$C$5:$C$124+ROW(Assignments!$C$5:$C$124)/100000,9^9),41),IF((Assignments!$C$5:$C$124&lt;&gt;"")*(Assignments!$I$5:$I$124=""),Assignments!$C$5:$C$124+ROW(Assignments!$C$5:$C$124)/100000,9^9),0)+4)-TODAY()),"")</f>
        <v/>
      </c>
      <c r="E49" s="8">
        <f>IFERROR(INDEX(Assignments!$G:$G,MATCH(SMALL(IF((Assignments!$C$5:$C$124&lt;&gt;"")*(Assignments!$I$5:$I$124=""),Assignments!$C$5:$C$124+ROW(Assignments!$C$5:$C$124)/100000,9^9),41),IF((Assignments!$C$5:$C$124&lt;&gt;"")*(Assignments!$I$5:$I$124=""),Assignments!$C$5:$C$124+ROW(Assignments!$C$5:$C$124)/100000,9^9),0)+4),"")</f>
        <v/>
      </c>
      <c r="F49" s="16">
        <f>IFERROR(INDEX(Assignments!$E:$E,MATCH(SMALL(IF((Assignments!$C$5:$C$124&lt;&gt;"")*(Assignments!$I$5:$I$124=""),Assignments!$C$5:$C$124+ROW(Assignments!$C$5:$C$124)/100000,9^9),41),IF((Assignments!$C$5:$C$124&lt;&gt;"")*(Assignments!$I$5:$I$124=""),Assignments!$C$5:$C$124+ROW(Assignments!$C$5:$C$124)/100000,9^9),0)+4),"")</f>
        <v/>
      </c>
      <c r="G49" s="16">
        <f>IFERROR(INDEX(Assignments!$F:$F,MATCH(SMALL(IF((Assignments!$C$5:$C$124&lt;&gt;"")*(Assignments!$I$5:$I$124=""),Assignments!$C$5:$C$124+ROW(Assignments!$C$5:$C$124)/100000,9^9),41),IF((Assignments!$C$5:$C$124&lt;&gt;"")*(Assignments!$I$5:$I$124=""),Assignments!$C$5:$C$124+ROW(Assignments!$C$5:$C$124)/100000,9^9),0)+4),"")</f>
        <v/>
      </c>
      <c r="H49" s="16">
        <f>IFERROR(INDEX(Assignments!$N:$N,MATCH(SMALL(IF((Assignments!$C$5:$C$124&lt;&gt;"")*(Assignments!$I$5:$I$124=""),Assignments!$C$5:$C$124+ROW(Assignments!$C$5:$C$124)/100000,9^9),41),IF((Assignments!$C$5:$C$124&lt;&gt;"")*(Assignments!$I$5:$I$124=""),Assignments!$C$5:$C$124+ROW(Assignments!$C$5:$C$124)/100000,9^9),0)+4),"")</f>
        <v/>
      </c>
    </row>
    <row r="50">
      <c r="B50" s="22" t="n">
        <v>42</v>
      </c>
      <c r="C50" s="21">
        <f>IFERROR(INDEX(Assignments!$C:$C,MATCH(SMALL(IF((Assignments!$C$5:$C$124&lt;&gt;"")*(Assignments!$I$5:$I$124=""),Assignments!$C$5:$C$124+ROW(Assignments!$C$5:$C$124)/100000,9^9),42),IF((Assignments!$C$5:$C$124&lt;&gt;"")*(Assignments!$I$5:$I$124=""),Assignments!$C$5:$C$124+ROW(Assignments!$C$5:$C$124)/100000,9^9),0)+4),"")</f>
        <v/>
      </c>
      <c r="D50" s="23">
        <f>IFERROR(IF(INDEX(Assignments!$C:$C,MATCH(SMALL(IF((Assignments!$C$5:$C$124&lt;&gt;"")*(Assignments!$I$5:$I$124=""),Assignments!$C$5:$C$124+ROW(Assignments!$C$5:$C$124)/100000,9^9),42),IF((Assignments!$C$5:$C$124&lt;&gt;"")*(Assignments!$I$5:$I$124=""),Assignments!$C$5:$C$124+ROW(Assignments!$C$5:$C$124)/100000,9^9),0)+4)="","",INDEX(Assignments!$C:$C,MATCH(SMALL(IF((Assignments!$C$5:$C$124&lt;&gt;"")*(Assignments!$I$5:$I$124=""),Assignments!$C$5:$C$124+ROW(Assignments!$C$5:$C$124)/100000,9^9),42),IF((Assignments!$C$5:$C$124&lt;&gt;"")*(Assignments!$I$5:$I$124=""),Assignments!$C$5:$C$124+ROW(Assignments!$C$5:$C$124)/100000,9^9),0)+4)-TODAY()),"")</f>
        <v/>
      </c>
      <c r="E50" s="10">
        <f>IFERROR(INDEX(Assignments!$G:$G,MATCH(SMALL(IF((Assignments!$C$5:$C$124&lt;&gt;"")*(Assignments!$I$5:$I$124=""),Assignments!$C$5:$C$124+ROW(Assignments!$C$5:$C$124)/100000,9^9),42),IF((Assignments!$C$5:$C$124&lt;&gt;"")*(Assignments!$I$5:$I$124=""),Assignments!$C$5:$C$124+ROW(Assignments!$C$5:$C$124)/100000,9^9),0)+4),"")</f>
        <v/>
      </c>
      <c r="F50" s="22">
        <f>IFERROR(INDEX(Assignments!$E:$E,MATCH(SMALL(IF((Assignments!$C$5:$C$124&lt;&gt;"")*(Assignments!$I$5:$I$124=""),Assignments!$C$5:$C$124+ROW(Assignments!$C$5:$C$124)/100000,9^9),42),IF((Assignments!$C$5:$C$124&lt;&gt;"")*(Assignments!$I$5:$I$124=""),Assignments!$C$5:$C$124+ROW(Assignments!$C$5:$C$124)/100000,9^9),0)+4),"")</f>
        <v/>
      </c>
      <c r="G50" s="22">
        <f>IFERROR(INDEX(Assignments!$F:$F,MATCH(SMALL(IF((Assignments!$C$5:$C$124&lt;&gt;"")*(Assignments!$I$5:$I$124=""),Assignments!$C$5:$C$124+ROW(Assignments!$C$5:$C$124)/100000,9^9),42),IF((Assignments!$C$5:$C$124&lt;&gt;"")*(Assignments!$I$5:$I$124=""),Assignments!$C$5:$C$124+ROW(Assignments!$C$5:$C$124)/100000,9^9),0)+4),"")</f>
        <v/>
      </c>
      <c r="H50" s="22">
        <f>IFERROR(INDEX(Assignments!$N:$N,MATCH(SMALL(IF((Assignments!$C$5:$C$124&lt;&gt;"")*(Assignments!$I$5:$I$124=""),Assignments!$C$5:$C$124+ROW(Assignments!$C$5:$C$124)/100000,9^9),42),IF((Assignments!$C$5:$C$124&lt;&gt;"")*(Assignments!$I$5:$I$124=""),Assignments!$C$5:$C$124+ROW(Assignments!$C$5:$C$124)/100000,9^9),0)+4),"")</f>
        <v/>
      </c>
    </row>
    <row r="51">
      <c r="B51" s="16" t="n">
        <v>43</v>
      </c>
      <c r="C51" s="15">
        <f>IFERROR(INDEX(Assignments!$C:$C,MATCH(SMALL(IF((Assignments!$C$5:$C$124&lt;&gt;"")*(Assignments!$I$5:$I$124=""),Assignments!$C$5:$C$124+ROW(Assignments!$C$5:$C$124)/100000,9^9),43),IF((Assignments!$C$5:$C$124&lt;&gt;"")*(Assignments!$I$5:$I$124=""),Assignments!$C$5:$C$124+ROW(Assignments!$C$5:$C$124)/100000,9^9),0)+4),"")</f>
        <v/>
      </c>
      <c r="D51" s="17">
        <f>IFERROR(IF(INDEX(Assignments!$C:$C,MATCH(SMALL(IF((Assignments!$C$5:$C$124&lt;&gt;"")*(Assignments!$I$5:$I$124=""),Assignments!$C$5:$C$124+ROW(Assignments!$C$5:$C$124)/100000,9^9),43),IF((Assignments!$C$5:$C$124&lt;&gt;"")*(Assignments!$I$5:$I$124=""),Assignments!$C$5:$C$124+ROW(Assignments!$C$5:$C$124)/100000,9^9),0)+4)="","",INDEX(Assignments!$C:$C,MATCH(SMALL(IF((Assignments!$C$5:$C$124&lt;&gt;"")*(Assignments!$I$5:$I$124=""),Assignments!$C$5:$C$124+ROW(Assignments!$C$5:$C$124)/100000,9^9),43),IF((Assignments!$C$5:$C$124&lt;&gt;"")*(Assignments!$I$5:$I$124=""),Assignments!$C$5:$C$124+ROW(Assignments!$C$5:$C$124)/100000,9^9),0)+4)-TODAY()),"")</f>
        <v/>
      </c>
      <c r="E51" s="8">
        <f>IFERROR(INDEX(Assignments!$G:$G,MATCH(SMALL(IF((Assignments!$C$5:$C$124&lt;&gt;"")*(Assignments!$I$5:$I$124=""),Assignments!$C$5:$C$124+ROW(Assignments!$C$5:$C$124)/100000,9^9),43),IF((Assignments!$C$5:$C$124&lt;&gt;"")*(Assignments!$I$5:$I$124=""),Assignments!$C$5:$C$124+ROW(Assignments!$C$5:$C$124)/100000,9^9),0)+4),"")</f>
        <v/>
      </c>
      <c r="F51" s="16">
        <f>IFERROR(INDEX(Assignments!$E:$E,MATCH(SMALL(IF((Assignments!$C$5:$C$124&lt;&gt;"")*(Assignments!$I$5:$I$124=""),Assignments!$C$5:$C$124+ROW(Assignments!$C$5:$C$124)/100000,9^9),43),IF((Assignments!$C$5:$C$124&lt;&gt;"")*(Assignments!$I$5:$I$124=""),Assignments!$C$5:$C$124+ROW(Assignments!$C$5:$C$124)/100000,9^9),0)+4),"")</f>
        <v/>
      </c>
      <c r="G51" s="16">
        <f>IFERROR(INDEX(Assignments!$F:$F,MATCH(SMALL(IF((Assignments!$C$5:$C$124&lt;&gt;"")*(Assignments!$I$5:$I$124=""),Assignments!$C$5:$C$124+ROW(Assignments!$C$5:$C$124)/100000,9^9),43),IF((Assignments!$C$5:$C$124&lt;&gt;"")*(Assignments!$I$5:$I$124=""),Assignments!$C$5:$C$124+ROW(Assignments!$C$5:$C$124)/100000,9^9),0)+4),"")</f>
        <v/>
      </c>
      <c r="H51" s="16">
        <f>IFERROR(INDEX(Assignments!$N:$N,MATCH(SMALL(IF((Assignments!$C$5:$C$124&lt;&gt;"")*(Assignments!$I$5:$I$124=""),Assignments!$C$5:$C$124+ROW(Assignments!$C$5:$C$124)/100000,9^9),43),IF((Assignments!$C$5:$C$124&lt;&gt;"")*(Assignments!$I$5:$I$124=""),Assignments!$C$5:$C$124+ROW(Assignments!$C$5:$C$124)/100000,9^9),0)+4),"")</f>
        <v/>
      </c>
    </row>
    <row r="52">
      <c r="B52" s="22" t="n">
        <v>44</v>
      </c>
      <c r="C52" s="21">
        <f>IFERROR(INDEX(Assignments!$C:$C,MATCH(SMALL(IF((Assignments!$C$5:$C$124&lt;&gt;"")*(Assignments!$I$5:$I$124=""),Assignments!$C$5:$C$124+ROW(Assignments!$C$5:$C$124)/100000,9^9),44),IF((Assignments!$C$5:$C$124&lt;&gt;"")*(Assignments!$I$5:$I$124=""),Assignments!$C$5:$C$124+ROW(Assignments!$C$5:$C$124)/100000,9^9),0)+4),"")</f>
        <v/>
      </c>
      <c r="D52" s="23">
        <f>IFERROR(IF(INDEX(Assignments!$C:$C,MATCH(SMALL(IF((Assignments!$C$5:$C$124&lt;&gt;"")*(Assignments!$I$5:$I$124=""),Assignments!$C$5:$C$124+ROW(Assignments!$C$5:$C$124)/100000,9^9),44),IF((Assignments!$C$5:$C$124&lt;&gt;"")*(Assignments!$I$5:$I$124=""),Assignments!$C$5:$C$124+ROW(Assignments!$C$5:$C$124)/100000,9^9),0)+4)="","",INDEX(Assignments!$C:$C,MATCH(SMALL(IF((Assignments!$C$5:$C$124&lt;&gt;"")*(Assignments!$I$5:$I$124=""),Assignments!$C$5:$C$124+ROW(Assignments!$C$5:$C$124)/100000,9^9),44),IF((Assignments!$C$5:$C$124&lt;&gt;"")*(Assignments!$I$5:$I$124=""),Assignments!$C$5:$C$124+ROW(Assignments!$C$5:$C$124)/100000,9^9),0)+4)-TODAY()),"")</f>
        <v/>
      </c>
      <c r="E52" s="10">
        <f>IFERROR(INDEX(Assignments!$G:$G,MATCH(SMALL(IF((Assignments!$C$5:$C$124&lt;&gt;"")*(Assignments!$I$5:$I$124=""),Assignments!$C$5:$C$124+ROW(Assignments!$C$5:$C$124)/100000,9^9),44),IF((Assignments!$C$5:$C$124&lt;&gt;"")*(Assignments!$I$5:$I$124=""),Assignments!$C$5:$C$124+ROW(Assignments!$C$5:$C$124)/100000,9^9),0)+4),"")</f>
        <v/>
      </c>
      <c r="F52" s="22">
        <f>IFERROR(INDEX(Assignments!$E:$E,MATCH(SMALL(IF((Assignments!$C$5:$C$124&lt;&gt;"")*(Assignments!$I$5:$I$124=""),Assignments!$C$5:$C$124+ROW(Assignments!$C$5:$C$124)/100000,9^9),44),IF((Assignments!$C$5:$C$124&lt;&gt;"")*(Assignments!$I$5:$I$124=""),Assignments!$C$5:$C$124+ROW(Assignments!$C$5:$C$124)/100000,9^9),0)+4),"")</f>
        <v/>
      </c>
      <c r="G52" s="22">
        <f>IFERROR(INDEX(Assignments!$F:$F,MATCH(SMALL(IF((Assignments!$C$5:$C$124&lt;&gt;"")*(Assignments!$I$5:$I$124=""),Assignments!$C$5:$C$124+ROW(Assignments!$C$5:$C$124)/100000,9^9),44),IF((Assignments!$C$5:$C$124&lt;&gt;"")*(Assignments!$I$5:$I$124=""),Assignments!$C$5:$C$124+ROW(Assignments!$C$5:$C$124)/100000,9^9),0)+4),"")</f>
        <v/>
      </c>
      <c r="H52" s="22">
        <f>IFERROR(INDEX(Assignments!$N:$N,MATCH(SMALL(IF((Assignments!$C$5:$C$124&lt;&gt;"")*(Assignments!$I$5:$I$124=""),Assignments!$C$5:$C$124+ROW(Assignments!$C$5:$C$124)/100000,9^9),44),IF((Assignments!$C$5:$C$124&lt;&gt;"")*(Assignments!$I$5:$I$124=""),Assignments!$C$5:$C$124+ROW(Assignments!$C$5:$C$124)/100000,9^9),0)+4),"")</f>
        <v/>
      </c>
    </row>
    <row r="53">
      <c r="B53" s="16" t="n">
        <v>45</v>
      </c>
      <c r="C53" s="15">
        <f>IFERROR(INDEX(Assignments!$C:$C,MATCH(SMALL(IF((Assignments!$C$5:$C$124&lt;&gt;"")*(Assignments!$I$5:$I$124=""),Assignments!$C$5:$C$124+ROW(Assignments!$C$5:$C$124)/100000,9^9),45),IF((Assignments!$C$5:$C$124&lt;&gt;"")*(Assignments!$I$5:$I$124=""),Assignments!$C$5:$C$124+ROW(Assignments!$C$5:$C$124)/100000,9^9),0)+4),"")</f>
        <v/>
      </c>
      <c r="D53" s="17">
        <f>IFERROR(IF(INDEX(Assignments!$C:$C,MATCH(SMALL(IF((Assignments!$C$5:$C$124&lt;&gt;"")*(Assignments!$I$5:$I$124=""),Assignments!$C$5:$C$124+ROW(Assignments!$C$5:$C$124)/100000,9^9),45),IF((Assignments!$C$5:$C$124&lt;&gt;"")*(Assignments!$I$5:$I$124=""),Assignments!$C$5:$C$124+ROW(Assignments!$C$5:$C$124)/100000,9^9),0)+4)="","",INDEX(Assignments!$C:$C,MATCH(SMALL(IF((Assignments!$C$5:$C$124&lt;&gt;"")*(Assignments!$I$5:$I$124=""),Assignments!$C$5:$C$124+ROW(Assignments!$C$5:$C$124)/100000,9^9),45),IF((Assignments!$C$5:$C$124&lt;&gt;"")*(Assignments!$I$5:$I$124=""),Assignments!$C$5:$C$124+ROW(Assignments!$C$5:$C$124)/100000,9^9),0)+4)-TODAY()),"")</f>
        <v/>
      </c>
      <c r="E53" s="8">
        <f>IFERROR(INDEX(Assignments!$G:$G,MATCH(SMALL(IF((Assignments!$C$5:$C$124&lt;&gt;"")*(Assignments!$I$5:$I$124=""),Assignments!$C$5:$C$124+ROW(Assignments!$C$5:$C$124)/100000,9^9),45),IF((Assignments!$C$5:$C$124&lt;&gt;"")*(Assignments!$I$5:$I$124=""),Assignments!$C$5:$C$124+ROW(Assignments!$C$5:$C$124)/100000,9^9),0)+4),"")</f>
        <v/>
      </c>
      <c r="F53" s="16">
        <f>IFERROR(INDEX(Assignments!$E:$E,MATCH(SMALL(IF((Assignments!$C$5:$C$124&lt;&gt;"")*(Assignments!$I$5:$I$124=""),Assignments!$C$5:$C$124+ROW(Assignments!$C$5:$C$124)/100000,9^9),45),IF((Assignments!$C$5:$C$124&lt;&gt;"")*(Assignments!$I$5:$I$124=""),Assignments!$C$5:$C$124+ROW(Assignments!$C$5:$C$124)/100000,9^9),0)+4),"")</f>
        <v/>
      </c>
      <c r="G53" s="16">
        <f>IFERROR(INDEX(Assignments!$F:$F,MATCH(SMALL(IF((Assignments!$C$5:$C$124&lt;&gt;"")*(Assignments!$I$5:$I$124=""),Assignments!$C$5:$C$124+ROW(Assignments!$C$5:$C$124)/100000,9^9),45),IF((Assignments!$C$5:$C$124&lt;&gt;"")*(Assignments!$I$5:$I$124=""),Assignments!$C$5:$C$124+ROW(Assignments!$C$5:$C$124)/100000,9^9),0)+4),"")</f>
        <v/>
      </c>
      <c r="H53" s="16">
        <f>IFERROR(INDEX(Assignments!$N:$N,MATCH(SMALL(IF((Assignments!$C$5:$C$124&lt;&gt;"")*(Assignments!$I$5:$I$124=""),Assignments!$C$5:$C$124+ROW(Assignments!$C$5:$C$124)/100000,9^9),45),IF((Assignments!$C$5:$C$124&lt;&gt;"")*(Assignments!$I$5:$I$124=""),Assignments!$C$5:$C$124+ROW(Assignments!$C$5:$C$124)/100000,9^9),0)+4),"")</f>
        <v/>
      </c>
    </row>
    <row r="54">
      <c r="B54" s="22" t="n">
        <v>46</v>
      </c>
      <c r="C54" s="21">
        <f>IFERROR(INDEX(Assignments!$C:$C,MATCH(SMALL(IF((Assignments!$C$5:$C$124&lt;&gt;"")*(Assignments!$I$5:$I$124=""),Assignments!$C$5:$C$124+ROW(Assignments!$C$5:$C$124)/100000,9^9),46),IF((Assignments!$C$5:$C$124&lt;&gt;"")*(Assignments!$I$5:$I$124=""),Assignments!$C$5:$C$124+ROW(Assignments!$C$5:$C$124)/100000,9^9),0)+4),"")</f>
        <v/>
      </c>
      <c r="D54" s="23">
        <f>IFERROR(IF(INDEX(Assignments!$C:$C,MATCH(SMALL(IF((Assignments!$C$5:$C$124&lt;&gt;"")*(Assignments!$I$5:$I$124=""),Assignments!$C$5:$C$124+ROW(Assignments!$C$5:$C$124)/100000,9^9),46),IF((Assignments!$C$5:$C$124&lt;&gt;"")*(Assignments!$I$5:$I$124=""),Assignments!$C$5:$C$124+ROW(Assignments!$C$5:$C$124)/100000,9^9),0)+4)="","",INDEX(Assignments!$C:$C,MATCH(SMALL(IF((Assignments!$C$5:$C$124&lt;&gt;"")*(Assignments!$I$5:$I$124=""),Assignments!$C$5:$C$124+ROW(Assignments!$C$5:$C$124)/100000,9^9),46),IF((Assignments!$C$5:$C$124&lt;&gt;"")*(Assignments!$I$5:$I$124=""),Assignments!$C$5:$C$124+ROW(Assignments!$C$5:$C$124)/100000,9^9),0)+4)-TODAY()),"")</f>
        <v/>
      </c>
      <c r="E54" s="10">
        <f>IFERROR(INDEX(Assignments!$G:$G,MATCH(SMALL(IF((Assignments!$C$5:$C$124&lt;&gt;"")*(Assignments!$I$5:$I$124=""),Assignments!$C$5:$C$124+ROW(Assignments!$C$5:$C$124)/100000,9^9),46),IF((Assignments!$C$5:$C$124&lt;&gt;"")*(Assignments!$I$5:$I$124=""),Assignments!$C$5:$C$124+ROW(Assignments!$C$5:$C$124)/100000,9^9),0)+4),"")</f>
        <v/>
      </c>
      <c r="F54" s="22">
        <f>IFERROR(INDEX(Assignments!$E:$E,MATCH(SMALL(IF((Assignments!$C$5:$C$124&lt;&gt;"")*(Assignments!$I$5:$I$124=""),Assignments!$C$5:$C$124+ROW(Assignments!$C$5:$C$124)/100000,9^9),46),IF((Assignments!$C$5:$C$124&lt;&gt;"")*(Assignments!$I$5:$I$124=""),Assignments!$C$5:$C$124+ROW(Assignments!$C$5:$C$124)/100000,9^9),0)+4),"")</f>
        <v/>
      </c>
      <c r="G54" s="22">
        <f>IFERROR(INDEX(Assignments!$F:$F,MATCH(SMALL(IF((Assignments!$C$5:$C$124&lt;&gt;"")*(Assignments!$I$5:$I$124=""),Assignments!$C$5:$C$124+ROW(Assignments!$C$5:$C$124)/100000,9^9),46),IF((Assignments!$C$5:$C$124&lt;&gt;"")*(Assignments!$I$5:$I$124=""),Assignments!$C$5:$C$124+ROW(Assignments!$C$5:$C$124)/100000,9^9),0)+4),"")</f>
        <v/>
      </c>
      <c r="H54" s="22">
        <f>IFERROR(INDEX(Assignments!$N:$N,MATCH(SMALL(IF((Assignments!$C$5:$C$124&lt;&gt;"")*(Assignments!$I$5:$I$124=""),Assignments!$C$5:$C$124+ROW(Assignments!$C$5:$C$124)/100000,9^9),46),IF((Assignments!$C$5:$C$124&lt;&gt;"")*(Assignments!$I$5:$I$124=""),Assignments!$C$5:$C$124+ROW(Assignments!$C$5:$C$124)/100000,9^9),0)+4),"")</f>
        <v/>
      </c>
    </row>
    <row r="55">
      <c r="B55" s="16" t="n">
        <v>47</v>
      </c>
      <c r="C55" s="15">
        <f>IFERROR(INDEX(Assignments!$C:$C,MATCH(SMALL(IF((Assignments!$C$5:$C$124&lt;&gt;"")*(Assignments!$I$5:$I$124=""),Assignments!$C$5:$C$124+ROW(Assignments!$C$5:$C$124)/100000,9^9),47),IF((Assignments!$C$5:$C$124&lt;&gt;"")*(Assignments!$I$5:$I$124=""),Assignments!$C$5:$C$124+ROW(Assignments!$C$5:$C$124)/100000,9^9),0)+4),"")</f>
        <v/>
      </c>
      <c r="D55" s="17">
        <f>IFERROR(IF(INDEX(Assignments!$C:$C,MATCH(SMALL(IF((Assignments!$C$5:$C$124&lt;&gt;"")*(Assignments!$I$5:$I$124=""),Assignments!$C$5:$C$124+ROW(Assignments!$C$5:$C$124)/100000,9^9),47),IF((Assignments!$C$5:$C$124&lt;&gt;"")*(Assignments!$I$5:$I$124=""),Assignments!$C$5:$C$124+ROW(Assignments!$C$5:$C$124)/100000,9^9),0)+4)="","",INDEX(Assignments!$C:$C,MATCH(SMALL(IF((Assignments!$C$5:$C$124&lt;&gt;"")*(Assignments!$I$5:$I$124=""),Assignments!$C$5:$C$124+ROW(Assignments!$C$5:$C$124)/100000,9^9),47),IF((Assignments!$C$5:$C$124&lt;&gt;"")*(Assignments!$I$5:$I$124=""),Assignments!$C$5:$C$124+ROW(Assignments!$C$5:$C$124)/100000,9^9),0)+4)-TODAY()),"")</f>
        <v/>
      </c>
      <c r="E55" s="8">
        <f>IFERROR(INDEX(Assignments!$G:$G,MATCH(SMALL(IF((Assignments!$C$5:$C$124&lt;&gt;"")*(Assignments!$I$5:$I$124=""),Assignments!$C$5:$C$124+ROW(Assignments!$C$5:$C$124)/100000,9^9),47),IF((Assignments!$C$5:$C$124&lt;&gt;"")*(Assignments!$I$5:$I$124=""),Assignments!$C$5:$C$124+ROW(Assignments!$C$5:$C$124)/100000,9^9),0)+4),"")</f>
        <v/>
      </c>
      <c r="F55" s="16">
        <f>IFERROR(INDEX(Assignments!$E:$E,MATCH(SMALL(IF((Assignments!$C$5:$C$124&lt;&gt;"")*(Assignments!$I$5:$I$124=""),Assignments!$C$5:$C$124+ROW(Assignments!$C$5:$C$124)/100000,9^9),47),IF((Assignments!$C$5:$C$124&lt;&gt;"")*(Assignments!$I$5:$I$124=""),Assignments!$C$5:$C$124+ROW(Assignments!$C$5:$C$124)/100000,9^9),0)+4),"")</f>
        <v/>
      </c>
      <c r="G55" s="16">
        <f>IFERROR(INDEX(Assignments!$F:$F,MATCH(SMALL(IF((Assignments!$C$5:$C$124&lt;&gt;"")*(Assignments!$I$5:$I$124=""),Assignments!$C$5:$C$124+ROW(Assignments!$C$5:$C$124)/100000,9^9),47),IF((Assignments!$C$5:$C$124&lt;&gt;"")*(Assignments!$I$5:$I$124=""),Assignments!$C$5:$C$124+ROW(Assignments!$C$5:$C$124)/100000,9^9),0)+4),"")</f>
        <v/>
      </c>
      <c r="H55" s="16">
        <f>IFERROR(INDEX(Assignments!$N:$N,MATCH(SMALL(IF((Assignments!$C$5:$C$124&lt;&gt;"")*(Assignments!$I$5:$I$124=""),Assignments!$C$5:$C$124+ROW(Assignments!$C$5:$C$124)/100000,9^9),47),IF((Assignments!$C$5:$C$124&lt;&gt;"")*(Assignments!$I$5:$I$124=""),Assignments!$C$5:$C$124+ROW(Assignments!$C$5:$C$124)/100000,9^9),0)+4),"")</f>
        <v/>
      </c>
    </row>
    <row r="56">
      <c r="B56" s="22" t="n">
        <v>48</v>
      </c>
      <c r="C56" s="21">
        <f>IFERROR(INDEX(Assignments!$C:$C,MATCH(SMALL(IF((Assignments!$C$5:$C$124&lt;&gt;"")*(Assignments!$I$5:$I$124=""),Assignments!$C$5:$C$124+ROW(Assignments!$C$5:$C$124)/100000,9^9),48),IF((Assignments!$C$5:$C$124&lt;&gt;"")*(Assignments!$I$5:$I$124=""),Assignments!$C$5:$C$124+ROW(Assignments!$C$5:$C$124)/100000,9^9),0)+4),"")</f>
        <v/>
      </c>
      <c r="D56" s="23">
        <f>IFERROR(IF(INDEX(Assignments!$C:$C,MATCH(SMALL(IF((Assignments!$C$5:$C$124&lt;&gt;"")*(Assignments!$I$5:$I$124=""),Assignments!$C$5:$C$124+ROW(Assignments!$C$5:$C$124)/100000,9^9),48),IF((Assignments!$C$5:$C$124&lt;&gt;"")*(Assignments!$I$5:$I$124=""),Assignments!$C$5:$C$124+ROW(Assignments!$C$5:$C$124)/100000,9^9),0)+4)="","",INDEX(Assignments!$C:$C,MATCH(SMALL(IF((Assignments!$C$5:$C$124&lt;&gt;"")*(Assignments!$I$5:$I$124=""),Assignments!$C$5:$C$124+ROW(Assignments!$C$5:$C$124)/100000,9^9),48),IF((Assignments!$C$5:$C$124&lt;&gt;"")*(Assignments!$I$5:$I$124=""),Assignments!$C$5:$C$124+ROW(Assignments!$C$5:$C$124)/100000,9^9),0)+4)-TODAY()),"")</f>
        <v/>
      </c>
      <c r="E56" s="10">
        <f>IFERROR(INDEX(Assignments!$G:$G,MATCH(SMALL(IF((Assignments!$C$5:$C$124&lt;&gt;"")*(Assignments!$I$5:$I$124=""),Assignments!$C$5:$C$124+ROW(Assignments!$C$5:$C$124)/100000,9^9),48),IF((Assignments!$C$5:$C$124&lt;&gt;"")*(Assignments!$I$5:$I$124=""),Assignments!$C$5:$C$124+ROW(Assignments!$C$5:$C$124)/100000,9^9),0)+4),"")</f>
        <v/>
      </c>
      <c r="F56" s="22">
        <f>IFERROR(INDEX(Assignments!$E:$E,MATCH(SMALL(IF((Assignments!$C$5:$C$124&lt;&gt;"")*(Assignments!$I$5:$I$124=""),Assignments!$C$5:$C$124+ROW(Assignments!$C$5:$C$124)/100000,9^9),48),IF((Assignments!$C$5:$C$124&lt;&gt;"")*(Assignments!$I$5:$I$124=""),Assignments!$C$5:$C$124+ROW(Assignments!$C$5:$C$124)/100000,9^9),0)+4),"")</f>
        <v/>
      </c>
      <c r="G56" s="22">
        <f>IFERROR(INDEX(Assignments!$F:$F,MATCH(SMALL(IF((Assignments!$C$5:$C$124&lt;&gt;"")*(Assignments!$I$5:$I$124=""),Assignments!$C$5:$C$124+ROW(Assignments!$C$5:$C$124)/100000,9^9),48),IF((Assignments!$C$5:$C$124&lt;&gt;"")*(Assignments!$I$5:$I$124=""),Assignments!$C$5:$C$124+ROW(Assignments!$C$5:$C$124)/100000,9^9),0)+4),"")</f>
        <v/>
      </c>
      <c r="H56" s="22">
        <f>IFERROR(INDEX(Assignments!$N:$N,MATCH(SMALL(IF((Assignments!$C$5:$C$124&lt;&gt;"")*(Assignments!$I$5:$I$124=""),Assignments!$C$5:$C$124+ROW(Assignments!$C$5:$C$124)/100000,9^9),48),IF((Assignments!$C$5:$C$124&lt;&gt;"")*(Assignments!$I$5:$I$124=""),Assignments!$C$5:$C$124+ROW(Assignments!$C$5:$C$124)/100000,9^9),0)+4),"")</f>
        <v/>
      </c>
    </row>
    <row r="57">
      <c r="B57" s="16" t="n">
        <v>49</v>
      </c>
      <c r="C57" s="15">
        <f>IFERROR(INDEX(Assignments!$C:$C,MATCH(SMALL(IF((Assignments!$C$5:$C$124&lt;&gt;"")*(Assignments!$I$5:$I$124=""),Assignments!$C$5:$C$124+ROW(Assignments!$C$5:$C$124)/100000,9^9),49),IF((Assignments!$C$5:$C$124&lt;&gt;"")*(Assignments!$I$5:$I$124=""),Assignments!$C$5:$C$124+ROW(Assignments!$C$5:$C$124)/100000,9^9),0)+4),"")</f>
        <v/>
      </c>
      <c r="D57" s="17">
        <f>IFERROR(IF(INDEX(Assignments!$C:$C,MATCH(SMALL(IF((Assignments!$C$5:$C$124&lt;&gt;"")*(Assignments!$I$5:$I$124=""),Assignments!$C$5:$C$124+ROW(Assignments!$C$5:$C$124)/100000,9^9),49),IF((Assignments!$C$5:$C$124&lt;&gt;"")*(Assignments!$I$5:$I$124=""),Assignments!$C$5:$C$124+ROW(Assignments!$C$5:$C$124)/100000,9^9),0)+4)="","",INDEX(Assignments!$C:$C,MATCH(SMALL(IF((Assignments!$C$5:$C$124&lt;&gt;"")*(Assignments!$I$5:$I$124=""),Assignments!$C$5:$C$124+ROW(Assignments!$C$5:$C$124)/100000,9^9),49),IF((Assignments!$C$5:$C$124&lt;&gt;"")*(Assignments!$I$5:$I$124=""),Assignments!$C$5:$C$124+ROW(Assignments!$C$5:$C$124)/100000,9^9),0)+4)-TODAY()),"")</f>
        <v/>
      </c>
      <c r="E57" s="8">
        <f>IFERROR(INDEX(Assignments!$G:$G,MATCH(SMALL(IF((Assignments!$C$5:$C$124&lt;&gt;"")*(Assignments!$I$5:$I$124=""),Assignments!$C$5:$C$124+ROW(Assignments!$C$5:$C$124)/100000,9^9),49),IF((Assignments!$C$5:$C$124&lt;&gt;"")*(Assignments!$I$5:$I$124=""),Assignments!$C$5:$C$124+ROW(Assignments!$C$5:$C$124)/100000,9^9),0)+4),"")</f>
        <v/>
      </c>
      <c r="F57" s="16">
        <f>IFERROR(INDEX(Assignments!$E:$E,MATCH(SMALL(IF((Assignments!$C$5:$C$124&lt;&gt;"")*(Assignments!$I$5:$I$124=""),Assignments!$C$5:$C$124+ROW(Assignments!$C$5:$C$124)/100000,9^9),49),IF((Assignments!$C$5:$C$124&lt;&gt;"")*(Assignments!$I$5:$I$124=""),Assignments!$C$5:$C$124+ROW(Assignments!$C$5:$C$124)/100000,9^9),0)+4),"")</f>
        <v/>
      </c>
      <c r="G57" s="16">
        <f>IFERROR(INDEX(Assignments!$F:$F,MATCH(SMALL(IF((Assignments!$C$5:$C$124&lt;&gt;"")*(Assignments!$I$5:$I$124=""),Assignments!$C$5:$C$124+ROW(Assignments!$C$5:$C$124)/100000,9^9),49),IF((Assignments!$C$5:$C$124&lt;&gt;"")*(Assignments!$I$5:$I$124=""),Assignments!$C$5:$C$124+ROW(Assignments!$C$5:$C$124)/100000,9^9),0)+4),"")</f>
        <v/>
      </c>
      <c r="H57" s="16">
        <f>IFERROR(INDEX(Assignments!$N:$N,MATCH(SMALL(IF((Assignments!$C$5:$C$124&lt;&gt;"")*(Assignments!$I$5:$I$124=""),Assignments!$C$5:$C$124+ROW(Assignments!$C$5:$C$124)/100000,9^9),49),IF((Assignments!$C$5:$C$124&lt;&gt;"")*(Assignments!$I$5:$I$124=""),Assignments!$C$5:$C$124+ROW(Assignments!$C$5:$C$124)/100000,9^9),0)+4),"")</f>
        <v/>
      </c>
    </row>
    <row r="58">
      <c r="B58" s="22" t="n">
        <v>50</v>
      </c>
      <c r="C58" s="21">
        <f>IFERROR(INDEX(Assignments!$C:$C,MATCH(SMALL(IF((Assignments!$C$5:$C$124&lt;&gt;"")*(Assignments!$I$5:$I$124=""),Assignments!$C$5:$C$124+ROW(Assignments!$C$5:$C$124)/100000,9^9),50),IF((Assignments!$C$5:$C$124&lt;&gt;"")*(Assignments!$I$5:$I$124=""),Assignments!$C$5:$C$124+ROW(Assignments!$C$5:$C$124)/100000,9^9),0)+4),"")</f>
        <v/>
      </c>
      <c r="D58" s="23">
        <f>IFERROR(IF(INDEX(Assignments!$C:$C,MATCH(SMALL(IF((Assignments!$C$5:$C$124&lt;&gt;"")*(Assignments!$I$5:$I$124=""),Assignments!$C$5:$C$124+ROW(Assignments!$C$5:$C$124)/100000,9^9),50),IF((Assignments!$C$5:$C$124&lt;&gt;"")*(Assignments!$I$5:$I$124=""),Assignments!$C$5:$C$124+ROW(Assignments!$C$5:$C$124)/100000,9^9),0)+4)="","",INDEX(Assignments!$C:$C,MATCH(SMALL(IF((Assignments!$C$5:$C$124&lt;&gt;"")*(Assignments!$I$5:$I$124=""),Assignments!$C$5:$C$124+ROW(Assignments!$C$5:$C$124)/100000,9^9),50),IF((Assignments!$C$5:$C$124&lt;&gt;"")*(Assignments!$I$5:$I$124=""),Assignments!$C$5:$C$124+ROW(Assignments!$C$5:$C$124)/100000,9^9),0)+4)-TODAY()),"")</f>
        <v/>
      </c>
      <c r="E58" s="10">
        <f>IFERROR(INDEX(Assignments!$G:$G,MATCH(SMALL(IF((Assignments!$C$5:$C$124&lt;&gt;"")*(Assignments!$I$5:$I$124=""),Assignments!$C$5:$C$124+ROW(Assignments!$C$5:$C$124)/100000,9^9),50),IF((Assignments!$C$5:$C$124&lt;&gt;"")*(Assignments!$I$5:$I$124=""),Assignments!$C$5:$C$124+ROW(Assignments!$C$5:$C$124)/100000,9^9),0)+4),"")</f>
        <v/>
      </c>
      <c r="F58" s="22">
        <f>IFERROR(INDEX(Assignments!$E:$E,MATCH(SMALL(IF((Assignments!$C$5:$C$124&lt;&gt;"")*(Assignments!$I$5:$I$124=""),Assignments!$C$5:$C$124+ROW(Assignments!$C$5:$C$124)/100000,9^9),50),IF((Assignments!$C$5:$C$124&lt;&gt;"")*(Assignments!$I$5:$I$124=""),Assignments!$C$5:$C$124+ROW(Assignments!$C$5:$C$124)/100000,9^9),0)+4),"")</f>
        <v/>
      </c>
      <c r="G58" s="22">
        <f>IFERROR(INDEX(Assignments!$F:$F,MATCH(SMALL(IF((Assignments!$C$5:$C$124&lt;&gt;"")*(Assignments!$I$5:$I$124=""),Assignments!$C$5:$C$124+ROW(Assignments!$C$5:$C$124)/100000,9^9),50),IF((Assignments!$C$5:$C$124&lt;&gt;"")*(Assignments!$I$5:$I$124=""),Assignments!$C$5:$C$124+ROW(Assignments!$C$5:$C$124)/100000,9^9),0)+4),"")</f>
        <v/>
      </c>
      <c r="H58" s="22">
        <f>IFERROR(INDEX(Assignments!$N:$N,MATCH(SMALL(IF((Assignments!$C$5:$C$124&lt;&gt;"")*(Assignments!$I$5:$I$124=""),Assignments!$C$5:$C$124+ROW(Assignments!$C$5:$C$124)/100000,9^9),50),IF((Assignments!$C$5:$C$124&lt;&gt;"")*(Assignments!$I$5:$I$124=""),Assignments!$C$5:$C$124+ROW(Assignments!$C$5:$C$124)/100000,9^9),0)+4),"")</f>
        <v/>
      </c>
    </row>
  </sheetData>
  <mergeCells count="8">
    <mergeCell ref="D6:E6"/>
    <mergeCell ref="B6:C6"/>
    <mergeCell ref="B5:C5"/>
    <mergeCell ref="F5:G5"/>
    <mergeCell ref="D5:E5"/>
    <mergeCell ref="B2:H2"/>
    <mergeCell ref="F6:G6"/>
    <mergeCell ref="B3:H3"/>
  </mergeCells>
  <conditionalFormatting sqref="D9:D58">
    <cfRule type="expression" priority="1" dxfId="0">
      <formula>AND(ISNUMBER(D9),D9&lt;0)</formula>
    </cfRule>
    <cfRule type="expression" priority="2" dxfId="1">
      <formula>AND(ISNUMBER(D9),D9&gt;=0,D9&lt;=3)</formula>
    </cfRule>
    <cfRule type="expression" priority="3" dxfId="2">
      <formula>AND(ISNUMBER(D9),D9&gt;3)</formula>
    </cfRule>
  </conditionalFormatting>
  <conditionalFormatting sqref="H9:H58">
    <cfRule type="expression" priority="4" dxfId="0">
      <formula>ISNUMBER(SEARCH("Missing",H9))</formula>
    </cfRule>
    <cfRule type="expression" priority="5" dxfId="1">
      <formula>ISNUMBER(SEARCH("Late",H9))</formula>
    </cfRule>
    <cfRule type="expression" priority="6" dxfId="3">
      <formula>ISNUMBER(SEARCH("Pending",H9))</formula>
    </cfRule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2E5090"/>
    <outlinePr summaryBelow="1" summaryRight="1"/>
    <pageSetUpPr/>
  </sheetPr>
  <dimension ref="B2:M99"/>
  <sheetViews>
    <sheetView showGridLines="0" workbookViewId="0">
      <pane xSplit="1" ySplit="5" topLeftCell="B6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2" customWidth="1" min="1" max="1"/>
    <col width="8" customWidth="1" min="2" max="2"/>
    <col width="32" customWidth="1" min="3" max="3"/>
    <col width="40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4" customWidth="1" min="10" max="10"/>
    <col width="14" customWidth="1" min="11" max="11"/>
    <col width="2" customWidth="1" min="12" max="12"/>
    <col width="12" customWidth="1" min="13" max="13"/>
  </cols>
  <sheetData>
    <row r="2" ht="30" customHeight="1">
      <c r="B2" s="11" t="inlineStr">
        <is>
          <t>📊   TOPIC-BY-TOPIC PERFORMANCE ANALYSIS</t>
        </is>
      </c>
    </row>
    <row r="3" ht="20" customHeight="1">
      <c r="B3" s="50" t="inlineStr">
        <is>
          <t>Auto-computed from Assignments &amp; Quizzes  ·  Every topic in Unit 1 and Unit 2  ·  Use this to plan revision</t>
        </is>
      </c>
    </row>
    <row r="5" ht="34" customHeight="1">
      <c r="B5" s="13" t="inlineStr">
        <is>
          <t>Unit</t>
        </is>
      </c>
      <c r="C5" s="13" t="inlineStr">
        <is>
          <t>Category</t>
        </is>
      </c>
      <c r="D5" s="13" t="inlineStr">
        <is>
          <t>Topic</t>
        </is>
      </c>
      <c r="E5" s="13" t="inlineStr">
        <is>
          <t>Assign
#</t>
        </is>
      </c>
      <c r="F5" s="13" t="inlineStr">
        <is>
          <t>Assign
Avg %</t>
        </is>
      </c>
      <c r="G5" s="13" t="inlineStr">
        <is>
          <t>Quiz
#</t>
        </is>
      </c>
      <c r="H5" s="13" t="inlineStr">
        <is>
          <t>Quiz
Avg %</t>
        </is>
      </c>
      <c r="I5" s="13" t="inlineStr">
        <is>
          <t>Overall
Avg %</t>
        </is>
      </c>
      <c r="J5" s="13" t="inlineStr">
        <is>
          <t>Best
%</t>
        </is>
      </c>
      <c r="K5" s="13" t="inlineStr">
        <is>
          <t>Lowest
%</t>
        </is>
      </c>
      <c r="M5" s="43" t="inlineStr">
        <is>
          <t>Priority</t>
        </is>
      </c>
    </row>
    <row r="6">
      <c r="B6" s="51" t="inlineStr">
        <is>
          <t>Unit 1</t>
        </is>
      </c>
      <c r="C6" s="8" t="inlineStr">
        <is>
          <t>1. Numbers &amp; the Number System</t>
        </is>
      </c>
      <c r="D6" s="8" t="inlineStr">
        <is>
          <t>Number Toolkit</t>
        </is>
      </c>
      <c r="E6" s="17">
        <f>COUNTIFS(Assignments!$D$5:$D$124,$B6,Assignments!$E$5:$E$124,$D6)</f>
        <v/>
      </c>
      <c r="F6" s="48">
        <f>IFERROR(AVERAGEIFS(Assignments!$L$5:$L$124,Assignments!$D$5:$D$124,$B6,Assignments!$E$5:$E$124,$D6),"—")</f>
        <v/>
      </c>
      <c r="G6" s="17">
        <f>COUNTIFS(Quizzes!$C$5:$C$124,$B6,Quizzes!$D$5:$D$124,$D6)</f>
        <v/>
      </c>
      <c r="H6" s="48">
        <f>IFERROR(AVERAGEIFS(Quizzes!$J$5:$J$124,Quizzes!$C$5:$C$124,$B6,Quizzes!$D$5:$D$124,$D6),"—")</f>
        <v/>
      </c>
      <c r="I6" s="48">
        <f>IFERROR(IF((E6+G6)=0,"—",(IFERROR(F6*E6,0)+IFERROR(H6*G6,0))/(E6+G6)),"—")</f>
        <v/>
      </c>
      <c r="J6" s="48">
        <f>IFERROR(MAX(IFERROR(MAXIFS(Assignments!$L$5:$L$124,Assignments!$D$5:$D$124,$B6,Assignments!$E$5:$E$124,$D6),0),IFERROR(MAXIFS(Quizzes!$J$5:$J$124,Quizzes!$C$5:$C$124,$B6,Quizzes!$D$5:$D$124,$D6),0)),"—")</f>
        <v/>
      </c>
      <c r="K6" s="48">
        <f>IFERROR(IF((E6+G6)=0,"—",MIN(IF(E6&gt;0,MINIFS(Assignments!$L$5:$L$124,Assignments!$D$5:$D$124,$B6,Assignments!$E$5:$E$124,$D6),9),IF(G6&gt;0,MINIFS(Quizzes!$J$5:$J$124,Quizzes!$C$5:$C$124,$B6,Quizzes!$D$5:$D$124,$D6),9))),"—")</f>
        <v/>
      </c>
      <c r="M6" s="52">
        <f>IF((E6+G6)=0,50,(1-IFERROR(I6,0))*100*MIN(1,(E6+G6)/3))</f>
        <v/>
      </c>
    </row>
    <row r="7">
      <c r="B7" s="51" t="inlineStr">
        <is>
          <t>Unit 1</t>
        </is>
      </c>
      <c r="C7" s="10" t="inlineStr">
        <is>
          <t>1. Numbers &amp; the Number System</t>
        </is>
      </c>
      <c r="D7" s="10" t="inlineStr">
        <is>
          <t>Set Notation &amp; Venn Diagrams</t>
        </is>
      </c>
      <c r="E7" s="23">
        <f>COUNTIFS(Assignments!$D$5:$D$124,$B7,Assignments!$E$5:$E$124,$D7)</f>
        <v/>
      </c>
      <c r="F7" s="49">
        <f>IFERROR(AVERAGEIFS(Assignments!$L$5:$L$124,Assignments!$D$5:$D$124,$B7,Assignments!$E$5:$E$124,$D7),"—")</f>
        <v/>
      </c>
      <c r="G7" s="23">
        <f>COUNTIFS(Quizzes!$C$5:$C$124,$B7,Quizzes!$D$5:$D$124,$D7)</f>
        <v/>
      </c>
      <c r="H7" s="49">
        <f>IFERROR(AVERAGEIFS(Quizzes!$J$5:$J$124,Quizzes!$C$5:$C$124,$B7,Quizzes!$D$5:$D$124,$D7),"—")</f>
        <v/>
      </c>
      <c r="I7" s="49">
        <f>IFERROR(IF((E7+G7)=0,"—",(IFERROR(F7*E7,0)+IFERROR(H7*G7,0))/(E7+G7)),"—")</f>
        <v/>
      </c>
      <c r="J7" s="49">
        <f>IFERROR(MAX(IFERROR(MAXIFS(Assignments!$L$5:$L$124,Assignments!$D$5:$D$124,$B7,Assignments!$E$5:$E$124,$D7),0),IFERROR(MAXIFS(Quizzes!$J$5:$J$124,Quizzes!$C$5:$C$124,$B7,Quizzes!$D$5:$D$124,$D7),0)),"—")</f>
        <v/>
      </c>
      <c r="K7" s="49">
        <f>IFERROR(IF((E7+G7)=0,"—",MIN(IF(E7&gt;0,MINIFS(Assignments!$L$5:$L$124,Assignments!$D$5:$D$124,$B7,Assignments!$E$5:$E$124,$D7),9),IF(G7&gt;0,MINIFS(Quizzes!$J$5:$J$124,Quizzes!$C$5:$C$124,$B7,Quizzes!$D$5:$D$124,$D7),9))),"—")</f>
        <v/>
      </c>
      <c r="M7" s="53">
        <f>IF((E7+G7)=0,50,(1-IFERROR(I7,0))*100*MIN(1,(E7+G7)/3))</f>
        <v/>
      </c>
    </row>
    <row r="8">
      <c r="B8" s="51" t="inlineStr">
        <is>
          <t>Unit 1</t>
        </is>
      </c>
      <c r="C8" s="8" t="inlineStr">
        <is>
          <t>1. Numbers &amp; the Number System</t>
        </is>
      </c>
      <c r="D8" s="8" t="inlineStr">
        <is>
          <t>Prime Factors, HCF &amp; LCM</t>
        </is>
      </c>
      <c r="E8" s="17">
        <f>COUNTIFS(Assignments!$D$5:$D$124,$B8,Assignments!$E$5:$E$124,$D8)</f>
        <v/>
      </c>
      <c r="F8" s="48">
        <f>IFERROR(AVERAGEIFS(Assignments!$L$5:$L$124,Assignments!$D$5:$D$124,$B8,Assignments!$E$5:$E$124,$D8),"—")</f>
        <v/>
      </c>
      <c r="G8" s="17">
        <f>COUNTIFS(Quizzes!$C$5:$C$124,$B8,Quizzes!$D$5:$D$124,$D8)</f>
        <v/>
      </c>
      <c r="H8" s="48">
        <f>IFERROR(AVERAGEIFS(Quizzes!$J$5:$J$124,Quizzes!$C$5:$C$124,$B8,Quizzes!$D$5:$D$124,$D8),"—")</f>
        <v/>
      </c>
      <c r="I8" s="48">
        <f>IFERROR(IF((E8+G8)=0,"—",(IFERROR(F8*E8,0)+IFERROR(H8*G8,0))/(E8+G8)),"—")</f>
        <v/>
      </c>
      <c r="J8" s="48">
        <f>IFERROR(MAX(IFERROR(MAXIFS(Assignments!$L$5:$L$124,Assignments!$D$5:$D$124,$B8,Assignments!$E$5:$E$124,$D8),0),IFERROR(MAXIFS(Quizzes!$J$5:$J$124,Quizzes!$C$5:$C$124,$B8,Quizzes!$D$5:$D$124,$D8),0)),"—")</f>
        <v/>
      </c>
      <c r="K8" s="48">
        <f>IFERROR(IF((E8+G8)=0,"—",MIN(IF(E8&gt;0,MINIFS(Assignments!$L$5:$L$124,Assignments!$D$5:$D$124,$B8,Assignments!$E$5:$E$124,$D8),9),IF(G8&gt;0,MINIFS(Quizzes!$J$5:$J$124,Quizzes!$C$5:$C$124,$B8,Quizzes!$D$5:$D$124,$D8),9))),"—")</f>
        <v/>
      </c>
      <c r="M8" s="52">
        <f>IF((E8+G8)=0,50,(1-IFERROR(I8,0))*100*MIN(1,(E8+G8)/3))</f>
        <v/>
      </c>
    </row>
    <row r="9">
      <c r="B9" s="51" t="inlineStr">
        <is>
          <t>Unit 1</t>
        </is>
      </c>
      <c r="C9" s="10" t="inlineStr">
        <is>
          <t>1. Numbers &amp; the Number System</t>
        </is>
      </c>
      <c r="D9" s="10" t="inlineStr">
        <is>
          <t>Powers, Roots &amp; Standard Form</t>
        </is>
      </c>
      <c r="E9" s="23">
        <f>COUNTIFS(Assignments!$D$5:$D$124,$B9,Assignments!$E$5:$E$124,$D9)</f>
        <v/>
      </c>
      <c r="F9" s="49">
        <f>IFERROR(AVERAGEIFS(Assignments!$L$5:$L$124,Assignments!$D$5:$D$124,$B9,Assignments!$E$5:$E$124,$D9),"—")</f>
        <v/>
      </c>
      <c r="G9" s="23">
        <f>COUNTIFS(Quizzes!$C$5:$C$124,$B9,Quizzes!$D$5:$D$124,$D9)</f>
        <v/>
      </c>
      <c r="H9" s="49">
        <f>IFERROR(AVERAGEIFS(Quizzes!$J$5:$J$124,Quizzes!$C$5:$C$124,$B9,Quizzes!$D$5:$D$124,$D9),"—")</f>
        <v/>
      </c>
      <c r="I9" s="49">
        <f>IFERROR(IF((E9+G9)=0,"—",(IFERROR(F9*E9,0)+IFERROR(H9*G9,0))/(E9+G9)),"—")</f>
        <v/>
      </c>
      <c r="J9" s="49">
        <f>IFERROR(MAX(IFERROR(MAXIFS(Assignments!$L$5:$L$124,Assignments!$D$5:$D$124,$B9,Assignments!$E$5:$E$124,$D9),0),IFERROR(MAXIFS(Quizzes!$J$5:$J$124,Quizzes!$C$5:$C$124,$B9,Quizzes!$D$5:$D$124,$D9),0)),"—")</f>
        <v/>
      </c>
      <c r="K9" s="49">
        <f>IFERROR(IF((E9+G9)=0,"—",MIN(IF(E9&gt;0,MINIFS(Assignments!$L$5:$L$124,Assignments!$D$5:$D$124,$B9,Assignments!$E$5:$E$124,$D9),9),IF(G9&gt;0,MINIFS(Quizzes!$J$5:$J$124,Quizzes!$C$5:$C$124,$B9,Quizzes!$D$5:$D$124,$D9),9))),"—")</f>
        <v/>
      </c>
      <c r="M9" s="53">
        <f>IF((E9+G9)=0,50,(1-IFERROR(I9,0))*100*MIN(1,(E9+G9)/3))</f>
        <v/>
      </c>
    </row>
    <row r="10">
      <c r="B10" s="51" t="inlineStr">
        <is>
          <t>Unit 1</t>
        </is>
      </c>
      <c r="C10" s="8" t="inlineStr">
        <is>
          <t>1. Numbers &amp; the Number System</t>
        </is>
      </c>
      <c r="D10" s="8" t="inlineStr">
        <is>
          <t>Fractions</t>
        </is>
      </c>
      <c r="E10" s="17">
        <f>COUNTIFS(Assignments!$D$5:$D$124,$B10,Assignments!$E$5:$E$124,$D10)</f>
        <v/>
      </c>
      <c r="F10" s="48">
        <f>IFERROR(AVERAGEIFS(Assignments!$L$5:$L$124,Assignments!$D$5:$D$124,$B10,Assignments!$E$5:$E$124,$D10),"—")</f>
        <v/>
      </c>
      <c r="G10" s="17">
        <f>COUNTIFS(Quizzes!$C$5:$C$124,$B10,Quizzes!$D$5:$D$124,$D10)</f>
        <v/>
      </c>
      <c r="H10" s="48">
        <f>IFERROR(AVERAGEIFS(Quizzes!$J$5:$J$124,Quizzes!$C$5:$C$124,$B10,Quizzes!$D$5:$D$124,$D10),"—")</f>
        <v/>
      </c>
      <c r="I10" s="48">
        <f>IFERROR(IF((E10+G10)=0,"—",(IFERROR(F10*E10,0)+IFERROR(H10*G10,0))/(E10+G10)),"—")</f>
        <v/>
      </c>
      <c r="J10" s="48">
        <f>IFERROR(MAX(IFERROR(MAXIFS(Assignments!$L$5:$L$124,Assignments!$D$5:$D$124,$B10,Assignments!$E$5:$E$124,$D10),0),IFERROR(MAXIFS(Quizzes!$J$5:$J$124,Quizzes!$C$5:$C$124,$B10,Quizzes!$D$5:$D$124,$D10),0)),"—")</f>
        <v/>
      </c>
      <c r="K10" s="48">
        <f>IFERROR(IF((E10+G10)=0,"—",MIN(IF(E10&gt;0,MINIFS(Assignments!$L$5:$L$124,Assignments!$D$5:$D$124,$B10,Assignments!$E$5:$E$124,$D10),9),IF(G10&gt;0,MINIFS(Quizzes!$J$5:$J$124,Quizzes!$C$5:$C$124,$B10,Quizzes!$D$5:$D$124,$D10),9))),"—")</f>
        <v/>
      </c>
      <c r="M10" s="52">
        <f>IF((E10+G10)=0,50,(1-IFERROR(I10,0))*100*MIN(1,(E10+G10)/3))</f>
        <v/>
      </c>
    </row>
    <row r="11">
      <c r="B11" s="51" t="inlineStr">
        <is>
          <t>Unit 1</t>
        </is>
      </c>
      <c r="C11" s="10" t="inlineStr">
        <is>
          <t>1. Numbers &amp; the Number System</t>
        </is>
      </c>
      <c r="D11" s="10" t="inlineStr">
        <is>
          <t>Percentages</t>
        </is>
      </c>
      <c r="E11" s="23">
        <f>COUNTIFS(Assignments!$D$5:$D$124,$B11,Assignments!$E$5:$E$124,$D11)</f>
        <v/>
      </c>
      <c r="F11" s="49">
        <f>IFERROR(AVERAGEIFS(Assignments!$L$5:$L$124,Assignments!$D$5:$D$124,$B11,Assignments!$E$5:$E$124,$D11),"—")</f>
        <v/>
      </c>
      <c r="G11" s="23">
        <f>COUNTIFS(Quizzes!$C$5:$C$124,$B11,Quizzes!$D$5:$D$124,$D11)</f>
        <v/>
      </c>
      <c r="H11" s="49">
        <f>IFERROR(AVERAGEIFS(Quizzes!$J$5:$J$124,Quizzes!$C$5:$C$124,$B11,Quizzes!$D$5:$D$124,$D11),"—")</f>
        <v/>
      </c>
      <c r="I11" s="49">
        <f>IFERROR(IF((E11+G11)=0,"—",(IFERROR(F11*E11,0)+IFERROR(H11*G11,0))/(E11+G11)),"—")</f>
        <v/>
      </c>
      <c r="J11" s="49">
        <f>IFERROR(MAX(IFERROR(MAXIFS(Assignments!$L$5:$L$124,Assignments!$D$5:$D$124,$B11,Assignments!$E$5:$E$124,$D11),0),IFERROR(MAXIFS(Quizzes!$J$5:$J$124,Quizzes!$C$5:$C$124,$B11,Quizzes!$D$5:$D$124,$D11),0)),"—")</f>
        <v/>
      </c>
      <c r="K11" s="49">
        <f>IFERROR(IF((E11+G11)=0,"—",MIN(IF(E11&gt;0,MINIFS(Assignments!$L$5:$L$124,Assignments!$D$5:$D$124,$B11,Assignments!$E$5:$E$124,$D11),9),IF(G11&gt;0,MINIFS(Quizzes!$J$5:$J$124,Quizzes!$C$5:$C$124,$B11,Quizzes!$D$5:$D$124,$D11),9))),"—")</f>
        <v/>
      </c>
      <c r="M11" s="53">
        <f>IF((E11+G11)=0,50,(1-IFERROR(I11,0))*100*MIN(1,(E11+G11)/3))</f>
        <v/>
      </c>
    </row>
    <row r="12">
      <c r="B12" s="51" t="inlineStr">
        <is>
          <t>Unit 1</t>
        </is>
      </c>
      <c r="C12" s="8" t="inlineStr">
        <is>
          <t>1. Numbers &amp; the Number System</t>
        </is>
      </c>
      <c r="D12" s="8" t="inlineStr">
        <is>
          <t>Compound Interest &amp; Depreciation</t>
        </is>
      </c>
      <c r="E12" s="17">
        <f>COUNTIFS(Assignments!$D$5:$D$124,$B12,Assignments!$E$5:$E$124,$D12)</f>
        <v/>
      </c>
      <c r="F12" s="48">
        <f>IFERROR(AVERAGEIFS(Assignments!$L$5:$L$124,Assignments!$D$5:$D$124,$B12,Assignments!$E$5:$E$124,$D12),"—")</f>
        <v/>
      </c>
      <c r="G12" s="17">
        <f>COUNTIFS(Quizzes!$C$5:$C$124,$B12,Quizzes!$D$5:$D$124,$D12)</f>
        <v/>
      </c>
      <c r="H12" s="48">
        <f>IFERROR(AVERAGEIFS(Quizzes!$J$5:$J$124,Quizzes!$C$5:$C$124,$B12,Quizzes!$D$5:$D$124,$D12),"—")</f>
        <v/>
      </c>
      <c r="I12" s="48">
        <f>IFERROR(IF((E12+G12)=0,"—",(IFERROR(F12*E12,0)+IFERROR(H12*G12,0))/(E12+G12)),"—")</f>
        <v/>
      </c>
      <c r="J12" s="48">
        <f>IFERROR(MAX(IFERROR(MAXIFS(Assignments!$L$5:$L$124,Assignments!$D$5:$D$124,$B12,Assignments!$E$5:$E$124,$D12),0),IFERROR(MAXIFS(Quizzes!$J$5:$J$124,Quizzes!$C$5:$C$124,$B12,Quizzes!$D$5:$D$124,$D12),0)),"—")</f>
        <v/>
      </c>
      <c r="K12" s="48">
        <f>IFERROR(IF((E12+G12)=0,"—",MIN(IF(E12&gt;0,MINIFS(Assignments!$L$5:$L$124,Assignments!$D$5:$D$124,$B12,Assignments!$E$5:$E$124,$D12),9),IF(G12&gt;0,MINIFS(Quizzes!$J$5:$J$124,Quizzes!$C$5:$C$124,$B12,Quizzes!$D$5:$D$124,$D12),9))),"—")</f>
        <v/>
      </c>
      <c r="M12" s="52">
        <f>IF((E12+G12)=0,50,(1-IFERROR(I12,0))*100*MIN(1,(E12+G12)/3))</f>
        <v/>
      </c>
    </row>
    <row r="13">
      <c r="B13" s="51" t="inlineStr">
        <is>
          <t>Unit 1</t>
        </is>
      </c>
      <c r="C13" s="10" t="inlineStr">
        <is>
          <t>1. Numbers &amp; the Number System</t>
        </is>
      </c>
      <c r="D13" s="10" t="inlineStr">
        <is>
          <t>Fractions, Decimals &amp; Percentages</t>
        </is>
      </c>
      <c r="E13" s="23">
        <f>COUNTIFS(Assignments!$D$5:$D$124,$B13,Assignments!$E$5:$E$124,$D13)</f>
        <v/>
      </c>
      <c r="F13" s="49">
        <f>IFERROR(AVERAGEIFS(Assignments!$L$5:$L$124,Assignments!$D$5:$D$124,$B13,Assignments!$E$5:$E$124,$D13),"—")</f>
        <v/>
      </c>
      <c r="G13" s="23">
        <f>COUNTIFS(Quizzes!$C$5:$C$124,$B13,Quizzes!$D$5:$D$124,$D13)</f>
        <v/>
      </c>
      <c r="H13" s="49">
        <f>IFERROR(AVERAGEIFS(Quizzes!$J$5:$J$124,Quizzes!$C$5:$C$124,$B13,Quizzes!$D$5:$D$124,$D13),"—")</f>
        <v/>
      </c>
      <c r="I13" s="49">
        <f>IFERROR(IF((E13+G13)=0,"—",(IFERROR(F13*E13,0)+IFERROR(H13*G13,0))/(E13+G13)),"—")</f>
        <v/>
      </c>
      <c r="J13" s="49">
        <f>IFERROR(MAX(IFERROR(MAXIFS(Assignments!$L$5:$L$124,Assignments!$D$5:$D$124,$B13,Assignments!$E$5:$E$124,$D13),0),IFERROR(MAXIFS(Quizzes!$J$5:$J$124,Quizzes!$C$5:$C$124,$B13,Quizzes!$D$5:$D$124,$D13),0)),"—")</f>
        <v/>
      </c>
      <c r="K13" s="49">
        <f>IFERROR(IF((E13+G13)=0,"—",MIN(IF(E13&gt;0,MINIFS(Assignments!$L$5:$L$124,Assignments!$D$5:$D$124,$B13,Assignments!$E$5:$E$124,$D13),9),IF(G13&gt;0,MINIFS(Quizzes!$J$5:$J$124,Quizzes!$C$5:$C$124,$B13,Quizzes!$D$5:$D$124,$D13),9))),"—")</f>
        <v/>
      </c>
      <c r="M13" s="53">
        <f>IF((E13+G13)=0,50,(1-IFERROR(I13,0))*100*MIN(1,(E13+G13)/3))</f>
        <v/>
      </c>
    </row>
    <row r="14">
      <c r="B14" s="51" t="inlineStr">
        <is>
          <t>Unit 1</t>
        </is>
      </c>
      <c r="C14" s="8" t="inlineStr">
        <is>
          <t>1. Numbers &amp; the Number System</t>
        </is>
      </c>
      <c r="D14" s="8" t="inlineStr">
        <is>
          <t>Rounding, Estimation &amp; Bounds</t>
        </is>
      </c>
      <c r="E14" s="17">
        <f>COUNTIFS(Assignments!$D$5:$D$124,$B14,Assignments!$E$5:$E$124,$D14)</f>
        <v/>
      </c>
      <c r="F14" s="48">
        <f>IFERROR(AVERAGEIFS(Assignments!$L$5:$L$124,Assignments!$D$5:$D$124,$B14,Assignments!$E$5:$E$124,$D14),"—")</f>
        <v/>
      </c>
      <c r="G14" s="17">
        <f>COUNTIFS(Quizzes!$C$5:$C$124,$B14,Quizzes!$D$5:$D$124,$D14)</f>
        <v/>
      </c>
      <c r="H14" s="48">
        <f>IFERROR(AVERAGEIFS(Quizzes!$J$5:$J$124,Quizzes!$C$5:$C$124,$B14,Quizzes!$D$5:$D$124,$D14),"—")</f>
        <v/>
      </c>
      <c r="I14" s="48">
        <f>IFERROR(IF((E14+G14)=0,"—",(IFERROR(F14*E14,0)+IFERROR(H14*G14,0))/(E14+G14)),"—")</f>
        <v/>
      </c>
      <c r="J14" s="48">
        <f>IFERROR(MAX(IFERROR(MAXIFS(Assignments!$L$5:$L$124,Assignments!$D$5:$D$124,$B14,Assignments!$E$5:$E$124,$D14),0),IFERROR(MAXIFS(Quizzes!$J$5:$J$124,Quizzes!$C$5:$C$124,$B14,Quizzes!$D$5:$D$124,$D14),0)),"—")</f>
        <v/>
      </c>
      <c r="K14" s="48">
        <f>IFERROR(IF((E14+G14)=0,"—",MIN(IF(E14&gt;0,MINIFS(Assignments!$L$5:$L$124,Assignments!$D$5:$D$124,$B14,Assignments!$E$5:$E$124,$D14),9),IF(G14&gt;0,MINIFS(Quizzes!$J$5:$J$124,Quizzes!$C$5:$C$124,$B14,Quizzes!$D$5:$D$124,$D14),9))),"—")</f>
        <v/>
      </c>
      <c r="M14" s="52">
        <f>IF((E14+G14)=0,50,(1-IFERROR(I14,0))*100*MIN(1,(E14+G14)/3))</f>
        <v/>
      </c>
    </row>
    <row r="15">
      <c r="B15" s="51" t="inlineStr">
        <is>
          <t>Unit 1</t>
        </is>
      </c>
      <c r="C15" s="10" t="inlineStr">
        <is>
          <t>1. Numbers &amp; the Number System</t>
        </is>
      </c>
      <c r="D15" s="10" t="inlineStr">
        <is>
          <t>Surds</t>
        </is>
      </c>
      <c r="E15" s="23">
        <f>COUNTIFS(Assignments!$D$5:$D$124,$B15,Assignments!$E$5:$E$124,$D15)</f>
        <v/>
      </c>
      <c r="F15" s="49">
        <f>IFERROR(AVERAGEIFS(Assignments!$L$5:$L$124,Assignments!$D$5:$D$124,$B15,Assignments!$E$5:$E$124,$D15),"—")</f>
        <v/>
      </c>
      <c r="G15" s="23">
        <f>COUNTIFS(Quizzes!$C$5:$C$124,$B15,Quizzes!$D$5:$D$124,$D15)</f>
        <v/>
      </c>
      <c r="H15" s="49">
        <f>IFERROR(AVERAGEIFS(Quizzes!$J$5:$J$124,Quizzes!$C$5:$C$124,$B15,Quizzes!$D$5:$D$124,$D15),"—")</f>
        <v/>
      </c>
      <c r="I15" s="49">
        <f>IFERROR(IF((E15+G15)=0,"—",(IFERROR(F15*E15,0)+IFERROR(H15*G15,0))/(E15+G15)),"—")</f>
        <v/>
      </c>
      <c r="J15" s="49">
        <f>IFERROR(MAX(IFERROR(MAXIFS(Assignments!$L$5:$L$124,Assignments!$D$5:$D$124,$B15,Assignments!$E$5:$E$124,$D15),0),IFERROR(MAXIFS(Quizzes!$J$5:$J$124,Quizzes!$C$5:$C$124,$B15,Quizzes!$D$5:$D$124,$D15),0)),"—")</f>
        <v/>
      </c>
      <c r="K15" s="49">
        <f>IFERROR(IF((E15+G15)=0,"—",MIN(IF(E15&gt;0,MINIFS(Assignments!$L$5:$L$124,Assignments!$D$5:$D$124,$B15,Assignments!$E$5:$E$124,$D15),9),IF(G15&gt;0,MINIFS(Quizzes!$J$5:$J$124,Quizzes!$C$5:$C$124,$B15,Quizzes!$D$5:$D$124,$D15),9))),"—")</f>
        <v/>
      </c>
      <c r="M15" s="53">
        <f>IF((E15+G15)=0,50,(1-IFERROR(I15,0))*100*MIN(1,(E15+G15)/3))</f>
        <v/>
      </c>
    </row>
    <row r="16">
      <c r="B16" s="51" t="inlineStr">
        <is>
          <t>Unit 1</t>
        </is>
      </c>
      <c r="C16" s="8" t="inlineStr">
        <is>
          <t>1. Numbers &amp; the Number System</t>
        </is>
      </c>
      <c r="D16" s="8" t="inlineStr">
        <is>
          <t>Using a Calculator</t>
        </is>
      </c>
      <c r="E16" s="17">
        <f>COUNTIFS(Assignments!$D$5:$D$124,$B16,Assignments!$E$5:$E$124,$D16)</f>
        <v/>
      </c>
      <c r="F16" s="48">
        <f>IFERROR(AVERAGEIFS(Assignments!$L$5:$L$124,Assignments!$D$5:$D$124,$B16,Assignments!$E$5:$E$124,$D16),"—")</f>
        <v/>
      </c>
      <c r="G16" s="17">
        <f>COUNTIFS(Quizzes!$C$5:$C$124,$B16,Quizzes!$D$5:$D$124,$D16)</f>
        <v/>
      </c>
      <c r="H16" s="48">
        <f>IFERROR(AVERAGEIFS(Quizzes!$J$5:$J$124,Quizzes!$C$5:$C$124,$B16,Quizzes!$D$5:$D$124,$D16),"—")</f>
        <v/>
      </c>
      <c r="I16" s="48">
        <f>IFERROR(IF((E16+G16)=0,"—",(IFERROR(F16*E16,0)+IFERROR(H16*G16,0))/(E16+G16)),"—")</f>
        <v/>
      </c>
      <c r="J16" s="48">
        <f>IFERROR(MAX(IFERROR(MAXIFS(Assignments!$L$5:$L$124,Assignments!$D$5:$D$124,$B16,Assignments!$E$5:$E$124,$D16),0),IFERROR(MAXIFS(Quizzes!$J$5:$J$124,Quizzes!$C$5:$C$124,$B16,Quizzes!$D$5:$D$124,$D16),0)),"—")</f>
        <v/>
      </c>
      <c r="K16" s="48">
        <f>IFERROR(IF((E16+G16)=0,"—",MIN(IF(E16&gt;0,MINIFS(Assignments!$L$5:$L$124,Assignments!$D$5:$D$124,$B16,Assignments!$E$5:$E$124,$D16),9),IF(G16&gt;0,MINIFS(Quizzes!$J$5:$J$124,Quizzes!$C$5:$C$124,$B16,Quizzes!$D$5:$D$124,$D16),9))),"—")</f>
        <v/>
      </c>
      <c r="M16" s="52">
        <f>IF((E16+G16)=0,50,(1-IFERROR(I16,0))*100*MIN(1,(E16+G16)/3))</f>
        <v/>
      </c>
    </row>
    <row r="17">
      <c r="B17" s="51" t="inlineStr">
        <is>
          <t>Unit 1</t>
        </is>
      </c>
      <c r="C17" s="10" t="inlineStr">
        <is>
          <t>1. Numbers &amp; the Number System</t>
        </is>
      </c>
      <c r="D17" s="10" t="inlineStr">
        <is>
          <t>Ratio Toolkit</t>
        </is>
      </c>
      <c r="E17" s="23">
        <f>COUNTIFS(Assignments!$D$5:$D$124,$B17,Assignments!$E$5:$E$124,$D17)</f>
        <v/>
      </c>
      <c r="F17" s="49">
        <f>IFERROR(AVERAGEIFS(Assignments!$L$5:$L$124,Assignments!$D$5:$D$124,$B17,Assignments!$E$5:$E$124,$D17),"—")</f>
        <v/>
      </c>
      <c r="G17" s="23">
        <f>COUNTIFS(Quizzes!$C$5:$C$124,$B17,Quizzes!$D$5:$D$124,$D17)</f>
        <v/>
      </c>
      <c r="H17" s="49">
        <f>IFERROR(AVERAGEIFS(Quizzes!$J$5:$J$124,Quizzes!$C$5:$C$124,$B17,Quizzes!$D$5:$D$124,$D17),"—")</f>
        <v/>
      </c>
      <c r="I17" s="49">
        <f>IFERROR(IF((E17+G17)=0,"—",(IFERROR(F17*E17,0)+IFERROR(H17*G17,0))/(E17+G17)),"—")</f>
        <v/>
      </c>
      <c r="J17" s="49">
        <f>IFERROR(MAX(IFERROR(MAXIFS(Assignments!$L$5:$L$124,Assignments!$D$5:$D$124,$B17,Assignments!$E$5:$E$124,$D17),0),IFERROR(MAXIFS(Quizzes!$J$5:$J$124,Quizzes!$C$5:$C$124,$B17,Quizzes!$D$5:$D$124,$D17),0)),"—")</f>
        <v/>
      </c>
      <c r="K17" s="49">
        <f>IFERROR(IF((E17+G17)=0,"—",MIN(IF(E17&gt;0,MINIFS(Assignments!$L$5:$L$124,Assignments!$D$5:$D$124,$B17,Assignments!$E$5:$E$124,$D17),9),IF(G17&gt;0,MINIFS(Quizzes!$J$5:$J$124,Quizzes!$C$5:$C$124,$B17,Quizzes!$D$5:$D$124,$D17),9))),"—")</f>
        <v/>
      </c>
      <c r="M17" s="53">
        <f>IF((E17+G17)=0,50,(1-IFERROR(I17,0))*100*MIN(1,(E17+G17)/3))</f>
        <v/>
      </c>
    </row>
    <row r="18">
      <c r="B18" s="51" t="inlineStr">
        <is>
          <t>Unit 1</t>
        </is>
      </c>
      <c r="C18" s="8" t="inlineStr">
        <is>
          <t>1. Numbers &amp; the Number System</t>
        </is>
      </c>
      <c r="D18" s="8" t="inlineStr">
        <is>
          <t>Ratio Problem Solving</t>
        </is>
      </c>
      <c r="E18" s="17">
        <f>COUNTIFS(Assignments!$D$5:$D$124,$B18,Assignments!$E$5:$E$124,$D18)</f>
        <v/>
      </c>
      <c r="F18" s="48">
        <f>IFERROR(AVERAGEIFS(Assignments!$L$5:$L$124,Assignments!$D$5:$D$124,$B18,Assignments!$E$5:$E$124,$D18),"—")</f>
        <v/>
      </c>
      <c r="G18" s="17">
        <f>COUNTIFS(Quizzes!$C$5:$C$124,$B18,Quizzes!$D$5:$D$124,$D18)</f>
        <v/>
      </c>
      <c r="H18" s="48">
        <f>IFERROR(AVERAGEIFS(Quizzes!$J$5:$J$124,Quizzes!$C$5:$C$124,$B18,Quizzes!$D$5:$D$124,$D18),"—")</f>
        <v/>
      </c>
      <c r="I18" s="48">
        <f>IFERROR(IF((E18+G18)=0,"—",(IFERROR(F18*E18,0)+IFERROR(H18*G18,0))/(E18+G18)),"—")</f>
        <v/>
      </c>
      <c r="J18" s="48">
        <f>IFERROR(MAX(IFERROR(MAXIFS(Assignments!$L$5:$L$124,Assignments!$D$5:$D$124,$B18,Assignments!$E$5:$E$124,$D18),0),IFERROR(MAXIFS(Quizzes!$J$5:$J$124,Quizzes!$C$5:$C$124,$B18,Quizzes!$D$5:$D$124,$D18),0)),"—")</f>
        <v/>
      </c>
      <c r="K18" s="48">
        <f>IFERROR(IF((E18+G18)=0,"—",MIN(IF(E18&gt;0,MINIFS(Assignments!$L$5:$L$124,Assignments!$D$5:$D$124,$B18,Assignments!$E$5:$E$124,$D18),9),IF(G18&gt;0,MINIFS(Quizzes!$J$5:$J$124,Quizzes!$C$5:$C$124,$B18,Quizzes!$D$5:$D$124,$D18),9))),"—")</f>
        <v/>
      </c>
      <c r="M18" s="52">
        <f>IF((E18+G18)=0,50,(1-IFERROR(I18,0))*100*MIN(1,(E18+G18)/3))</f>
        <v/>
      </c>
    </row>
    <row r="19">
      <c r="B19" s="51" t="inlineStr">
        <is>
          <t>Unit 1</t>
        </is>
      </c>
      <c r="C19" s="10" t="inlineStr">
        <is>
          <t>1. Numbers &amp; the Number System</t>
        </is>
      </c>
      <c r="D19" s="10" t="inlineStr">
        <is>
          <t>Exchange Rates &amp; Best Buys</t>
        </is>
      </c>
      <c r="E19" s="23">
        <f>COUNTIFS(Assignments!$D$5:$D$124,$B19,Assignments!$E$5:$E$124,$D19)</f>
        <v/>
      </c>
      <c r="F19" s="49">
        <f>IFERROR(AVERAGEIFS(Assignments!$L$5:$L$124,Assignments!$D$5:$D$124,$B19,Assignments!$E$5:$E$124,$D19),"—")</f>
        <v/>
      </c>
      <c r="G19" s="23">
        <f>COUNTIFS(Quizzes!$C$5:$C$124,$B19,Quizzes!$D$5:$D$124,$D19)</f>
        <v/>
      </c>
      <c r="H19" s="49">
        <f>IFERROR(AVERAGEIFS(Quizzes!$J$5:$J$124,Quizzes!$C$5:$C$124,$B19,Quizzes!$D$5:$D$124,$D19),"—")</f>
        <v/>
      </c>
      <c r="I19" s="49">
        <f>IFERROR(IF((E19+G19)=0,"—",(IFERROR(F19*E19,0)+IFERROR(H19*G19,0))/(E19+G19)),"—")</f>
        <v/>
      </c>
      <c r="J19" s="49">
        <f>IFERROR(MAX(IFERROR(MAXIFS(Assignments!$L$5:$L$124,Assignments!$D$5:$D$124,$B19,Assignments!$E$5:$E$124,$D19),0),IFERROR(MAXIFS(Quizzes!$J$5:$J$124,Quizzes!$C$5:$C$124,$B19,Quizzes!$D$5:$D$124,$D19),0)),"—")</f>
        <v/>
      </c>
      <c r="K19" s="49">
        <f>IFERROR(IF((E19+G19)=0,"—",MIN(IF(E19&gt;0,MINIFS(Assignments!$L$5:$L$124,Assignments!$D$5:$D$124,$B19,Assignments!$E$5:$E$124,$D19),9),IF(G19&gt;0,MINIFS(Quizzes!$J$5:$J$124,Quizzes!$C$5:$C$124,$B19,Quizzes!$D$5:$D$124,$D19),9))),"—")</f>
        <v/>
      </c>
      <c r="M19" s="53">
        <f>IF((E19+G19)=0,50,(1-IFERROR(I19,0))*100*MIN(1,(E19+G19)/3))</f>
        <v/>
      </c>
    </row>
    <row r="20">
      <c r="B20" s="51" t="inlineStr">
        <is>
          <t>Unit 1</t>
        </is>
      </c>
      <c r="C20" s="8" t="inlineStr">
        <is>
          <t>1. Numbers &amp; the Number System</t>
        </is>
      </c>
      <c r="D20" s="8" t="inlineStr">
        <is>
          <t>Direct &amp; Inverse Proportion</t>
        </is>
      </c>
      <c r="E20" s="17">
        <f>COUNTIFS(Assignments!$D$5:$D$124,$B20,Assignments!$E$5:$E$124,$D20)</f>
        <v/>
      </c>
      <c r="F20" s="48">
        <f>IFERROR(AVERAGEIFS(Assignments!$L$5:$L$124,Assignments!$D$5:$D$124,$B20,Assignments!$E$5:$E$124,$D20),"—")</f>
        <v/>
      </c>
      <c r="G20" s="17">
        <f>COUNTIFS(Quizzes!$C$5:$C$124,$B20,Quizzes!$D$5:$D$124,$D20)</f>
        <v/>
      </c>
      <c r="H20" s="48">
        <f>IFERROR(AVERAGEIFS(Quizzes!$J$5:$J$124,Quizzes!$C$5:$C$124,$B20,Quizzes!$D$5:$D$124,$D20),"—")</f>
        <v/>
      </c>
      <c r="I20" s="48">
        <f>IFERROR(IF((E20+G20)=0,"—",(IFERROR(F20*E20,0)+IFERROR(H20*G20,0))/(E20+G20)),"—")</f>
        <v/>
      </c>
      <c r="J20" s="48">
        <f>IFERROR(MAX(IFERROR(MAXIFS(Assignments!$L$5:$L$124,Assignments!$D$5:$D$124,$B20,Assignments!$E$5:$E$124,$D20),0),IFERROR(MAXIFS(Quizzes!$J$5:$J$124,Quizzes!$C$5:$C$124,$B20,Quizzes!$D$5:$D$124,$D20),0)),"—")</f>
        <v/>
      </c>
      <c r="K20" s="48">
        <f>IFERROR(IF((E20+G20)=0,"—",MIN(IF(E20&gt;0,MINIFS(Assignments!$L$5:$L$124,Assignments!$D$5:$D$124,$B20,Assignments!$E$5:$E$124,$D20),9),IF(G20&gt;0,MINIFS(Quizzes!$J$5:$J$124,Quizzes!$C$5:$C$124,$B20,Quizzes!$D$5:$D$124,$D20),9))),"—")</f>
        <v/>
      </c>
      <c r="M20" s="52">
        <f>IF((E20+G20)=0,50,(1-IFERROR(I20,0))*100*MIN(1,(E20+G20)/3))</f>
        <v/>
      </c>
    </row>
    <row r="21">
      <c r="B21" s="51" t="inlineStr">
        <is>
          <t>Unit 1</t>
        </is>
      </c>
      <c r="C21" s="10" t="inlineStr">
        <is>
          <t>2. Equations, Formulae &amp; Identities</t>
        </is>
      </c>
      <c r="D21" s="10" t="inlineStr">
        <is>
          <t>Algebra Toolkit</t>
        </is>
      </c>
      <c r="E21" s="23">
        <f>COUNTIFS(Assignments!$D$5:$D$124,$B21,Assignments!$E$5:$E$124,$D21)</f>
        <v/>
      </c>
      <c r="F21" s="49">
        <f>IFERROR(AVERAGEIFS(Assignments!$L$5:$L$124,Assignments!$D$5:$D$124,$B21,Assignments!$E$5:$E$124,$D21),"—")</f>
        <v/>
      </c>
      <c r="G21" s="23">
        <f>COUNTIFS(Quizzes!$C$5:$C$124,$B21,Quizzes!$D$5:$D$124,$D21)</f>
        <v/>
      </c>
      <c r="H21" s="49">
        <f>IFERROR(AVERAGEIFS(Quizzes!$J$5:$J$124,Quizzes!$C$5:$C$124,$B21,Quizzes!$D$5:$D$124,$D21),"—")</f>
        <v/>
      </c>
      <c r="I21" s="49">
        <f>IFERROR(IF((E21+G21)=0,"—",(IFERROR(F21*E21,0)+IFERROR(H21*G21,0))/(E21+G21)),"—")</f>
        <v/>
      </c>
      <c r="J21" s="49">
        <f>IFERROR(MAX(IFERROR(MAXIFS(Assignments!$L$5:$L$124,Assignments!$D$5:$D$124,$B21,Assignments!$E$5:$E$124,$D21),0),IFERROR(MAXIFS(Quizzes!$J$5:$J$124,Quizzes!$C$5:$C$124,$B21,Quizzes!$D$5:$D$124,$D21),0)),"—")</f>
        <v/>
      </c>
      <c r="K21" s="49">
        <f>IFERROR(IF((E21+G21)=0,"—",MIN(IF(E21&gt;0,MINIFS(Assignments!$L$5:$L$124,Assignments!$D$5:$D$124,$B21,Assignments!$E$5:$E$124,$D21),9),IF(G21&gt;0,MINIFS(Quizzes!$J$5:$J$124,Quizzes!$C$5:$C$124,$B21,Quizzes!$D$5:$D$124,$D21),9))),"—")</f>
        <v/>
      </c>
      <c r="M21" s="53">
        <f>IF((E21+G21)=0,50,(1-IFERROR(I21,0))*100*MIN(1,(E21+G21)/3))</f>
        <v/>
      </c>
    </row>
    <row r="22">
      <c r="B22" s="51" t="inlineStr">
        <is>
          <t>Unit 1</t>
        </is>
      </c>
      <c r="C22" s="8" t="inlineStr">
        <is>
          <t>2. Equations, Formulae &amp; Identities</t>
        </is>
      </c>
      <c r="D22" s="8" t="inlineStr">
        <is>
          <t>Algebraic Roots &amp; Indices</t>
        </is>
      </c>
      <c r="E22" s="17">
        <f>COUNTIFS(Assignments!$D$5:$D$124,$B22,Assignments!$E$5:$E$124,$D22)</f>
        <v/>
      </c>
      <c r="F22" s="48">
        <f>IFERROR(AVERAGEIFS(Assignments!$L$5:$L$124,Assignments!$D$5:$D$124,$B22,Assignments!$E$5:$E$124,$D22),"—")</f>
        <v/>
      </c>
      <c r="G22" s="17">
        <f>COUNTIFS(Quizzes!$C$5:$C$124,$B22,Quizzes!$D$5:$D$124,$D22)</f>
        <v/>
      </c>
      <c r="H22" s="48">
        <f>IFERROR(AVERAGEIFS(Quizzes!$J$5:$J$124,Quizzes!$C$5:$C$124,$B22,Quizzes!$D$5:$D$124,$D22),"—")</f>
        <v/>
      </c>
      <c r="I22" s="48">
        <f>IFERROR(IF((E22+G22)=0,"—",(IFERROR(F22*E22,0)+IFERROR(H22*G22,0))/(E22+G22)),"—")</f>
        <v/>
      </c>
      <c r="J22" s="48">
        <f>IFERROR(MAX(IFERROR(MAXIFS(Assignments!$L$5:$L$124,Assignments!$D$5:$D$124,$B22,Assignments!$E$5:$E$124,$D22),0),IFERROR(MAXIFS(Quizzes!$J$5:$J$124,Quizzes!$C$5:$C$124,$B22,Quizzes!$D$5:$D$124,$D22),0)),"—")</f>
        <v/>
      </c>
      <c r="K22" s="48">
        <f>IFERROR(IF((E22+G22)=0,"—",MIN(IF(E22&gt;0,MINIFS(Assignments!$L$5:$L$124,Assignments!$D$5:$D$124,$B22,Assignments!$E$5:$E$124,$D22),9),IF(G22&gt;0,MINIFS(Quizzes!$J$5:$J$124,Quizzes!$C$5:$C$124,$B22,Quizzes!$D$5:$D$124,$D22),9))),"—")</f>
        <v/>
      </c>
      <c r="M22" s="52">
        <f>IF((E22+G22)=0,50,(1-IFERROR(I22,0))*100*MIN(1,(E22+G22)/3))</f>
        <v/>
      </c>
    </row>
    <row r="23">
      <c r="B23" s="51" t="inlineStr">
        <is>
          <t>Unit 1</t>
        </is>
      </c>
      <c r="C23" s="10" t="inlineStr">
        <is>
          <t>2. Equations, Formulae &amp; Identities</t>
        </is>
      </c>
      <c r="D23" s="10" t="inlineStr">
        <is>
          <t>Expanding Brackets</t>
        </is>
      </c>
      <c r="E23" s="23">
        <f>COUNTIFS(Assignments!$D$5:$D$124,$B23,Assignments!$E$5:$E$124,$D23)</f>
        <v/>
      </c>
      <c r="F23" s="49">
        <f>IFERROR(AVERAGEIFS(Assignments!$L$5:$L$124,Assignments!$D$5:$D$124,$B23,Assignments!$E$5:$E$124,$D23),"—")</f>
        <v/>
      </c>
      <c r="G23" s="23">
        <f>COUNTIFS(Quizzes!$C$5:$C$124,$B23,Quizzes!$D$5:$D$124,$D23)</f>
        <v/>
      </c>
      <c r="H23" s="49">
        <f>IFERROR(AVERAGEIFS(Quizzes!$J$5:$J$124,Quizzes!$C$5:$C$124,$B23,Quizzes!$D$5:$D$124,$D23),"—")</f>
        <v/>
      </c>
      <c r="I23" s="49">
        <f>IFERROR(IF((E23+G23)=0,"—",(IFERROR(F23*E23,0)+IFERROR(H23*G23,0))/(E23+G23)),"—")</f>
        <v/>
      </c>
      <c r="J23" s="49">
        <f>IFERROR(MAX(IFERROR(MAXIFS(Assignments!$L$5:$L$124,Assignments!$D$5:$D$124,$B23,Assignments!$E$5:$E$124,$D23),0),IFERROR(MAXIFS(Quizzes!$J$5:$J$124,Quizzes!$C$5:$C$124,$B23,Quizzes!$D$5:$D$124,$D23),0)),"—")</f>
        <v/>
      </c>
      <c r="K23" s="49">
        <f>IFERROR(IF((E23+G23)=0,"—",MIN(IF(E23&gt;0,MINIFS(Assignments!$L$5:$L$124,Assignments!$D$5:$D$124,$B23,Assignments!$E$5:$E$124,$D23),9),IF(G23&gt;0,MINIFS(Quizzes!$J$5:$J$124,Quizzes!$C$5:$C$124,$B23,Quizzes!$D$5:$D$124,$D23),9))),"—")</f>
        <v/>
      </c>
      <c r="M23" s="53">
        <f>IF((E23+G23)=0,50,(1-IFERROR(I23,0))*100*MIN(1,(E23+G23)/3))</f>
        <v/>
      </c>
    </row>
    <row r="24">
      <c r="B24" s="51" t="inlineStr">
        <is>
          <t>Unit 1</t>
        </is>
      </c>
      <c r="C24" s="8" t="inlineStr">
        <is>
          <t>2. Equations, Formulae &amp; Identities</t>
        </is>
      </c>
      <c r="D24" s="8" t="inlineStr">
        <is>
          <t>Factorising</t>
        </is>
      </c>
      <c r="E24" s="17">
        <f>COUNTIFS(Assignments!$D$5:$D$124,$B24,Assignments!$E$5:$E$124,$D24)</f>
        <v/>
      </c>
      <c r="F24" s="48">
        <f>IFERROR(AVERAGEIFS(Assignments!$L$5:$L$124,Assignments!$D$5:$D$124,$B24,Assignments!$E$5:$E$124,$D24),"—")</f>
        <v/>
      </c>
      <c r="G24" s="17">
        <f>COUNTIFS(Quizzes!$C$5:$C$124,$B24,Quizzes!$D$5:$D$124,$D24)</f>
        <v/>
      </c>
      <c r="H24" s="48">
        <f>IFERROR(AVERAGEIFS(Quizzes!$J$5:$J$124,Quizzes!$C$5:$C$124,$B24,Quizzes!$D$5:$D$124,$D24),"—")</f>
        <v/>
      </c>
      <c r="I24" s="48">
        <f>IFERROR(IF((E24+G24)=0,"—",(IFERROR(F24*E24,0)+IFERROR(H24*G24,0))/(E24+G24)),"—")</f>
        <v/>
      </c>
      <c r="J24" s="48">
        <f>IFERROR(MAX(IFERROR(MAXIFS(Assignments!$L$5:$L$124,Assignments!$D$5:$D$124,$B24,Assignments!$E$5:$E$124,$D24),0),IFERROR(MAXIFS(Quizzes!$J$5:$J$124,Quizzes!$C$5:$C$124,$B24,Quizzes!$D$5:$D$124,$D24),0)),"—")</f>
        <v/>
      </c>
      <c r="K24" s="48">
        <f>IFERROR(IF((E24+G24)=0,"—",MIN(IF(E24&gt;0,MINIFS(Assignments!$L$5:$L$124,Assignments!$D$5:$D$124,$B24,Assignments!$E$5:$E$124,$D24),9),IF(G24&gt;0,MINIFS(Quizzes!$J$5:$J$124,Quizzes!$C$5:$C$124,$B24,Quizzes!$D$5:$D$124,$D24),9))),"—")</f>
        <v/>
      </c>
      <c r="M24" s="52">
        <f>IF((E24+G24)=0,50,(1-IFERROR(I24,0))*100*MIN(1,(E24+G24)/3))</f>
        <v/>
      </c>
    </row>
    <row r="25">
      <c r="B25" s="51" t="inlineStr">
        <is>
          <t>Unit 1</t>
        </is>
      </c>
      <c r="C25" s="10" t="inlineStr">
        <is>
          <t>2. Equations, Formulae &amp; Identities</t>
        </is>
      </c>
      <c r="D25" s="10" t="inlineStr">
        <is>
          <t>Completing the Square</t>
        </is>
      </c>
      <c r="E25" s="23">
        <f>COUNTIFS(Assignments!$D$5:$D$124,$B25,Assignments!$E$5:$E$124,$D25)</f>
        <v/>
      </c>
      <c r="F25" s="49">
        <f>IFERROR(AVERAGEIFS(Assignments!$L$5:$L$124,Assignments!$D$5:$D$124,$B25,Assignments!$E$5:$E$124,$D25),"—")</f>
        <v/>
      </c>
      <c r="G25" s="23">
        <f>COUNTIFS(Quizzes!$C$5:$C$124,$B25,Quizzes!$D$5:$D$124,$D25)</f>
        <v/>
      </c>
      <c r="H25" s="49">
        <f>IFERROR(AVERAGEIFS(Quizzes!$J$5:$J$124,Quizzes!$C$5:$C$124,$B25,Quizzes!$D$5:$D$124,$D25),"—")</f>
        <v/>
      </c>
      <c r="I25" s="49">
        <f>IFERROR(IF((E25+G25)=0,"—",(IFERROR(F25*E25,0)+IFERROR(H25*G25,0))/(E25+G25)),"—")</f>
        <v/>
      </c>
      <c r="J25" s="49">
        <f>IFERROR(MAX(IFERROR(MAXIFS(Assignments!$L$5:$L$124,Assignments!$D$5:$D$124,$B25,Assignments!$E$5:$E$124,$D25),0),IFERROR(MAXIFS(Quizzes!$J$5:$J$124,Quizzes!$C$5:$C$124,$B25,Quizzes!$D$5:$D$124,$D25),0)),"—")</f>
        <v/>
      </c>
      <c r="K25" s="49">
        <f>IFERROR(IF((E25+G25)=0,"—",MIN(IF(E25&gt;0,MINIFS(Assignments!$L$5:$L$124,Assignments!$D$5:$D$124,$B25,Assignments!$E$5:$E$124,$D25),9),IF(G25&gt;0,MINIFS(Quizzes!$J$5:$J$124,Quizzes!$C$5:$C$124,$B25,Quizzes!$D$5:$D$124,$D25),9))),"—")</f>
        <v/>
      </c>
      <c r="M25" s="53">
        <f>IF((E25+G25)=0,50,(1-IFERROR(I25,0))*100*MIN(1,(E25+G25)/3))</f>
        <v/>
      </c>
    </row>
    <row r="26">
      <c r="B26" s="51" t="inlineStr">
        <is>
          <t>Unit 1</t>
        </is>
      </c>
      <c r="C26" s="8" t="inlineStr">
        <is>
          <t>2. Equations, Formulae &amp; Identities</t>
        </is>
      </c>
      <c r="D26" s="8" t="inlineStr">
        <is>
          <t>Algebraic Fractions</t>
        </is>
      </c>
      <c r="E26" s="17">
        <f>COUNTIFS(Assignments!$D$5:$D$124,$B26,Assignments!$E$5:$E$124,$D26)</f>
        <v/>
      </c>
      <c r="F26" s="48">
        <f>IFERROR(AVERAGEIFS(Assignments!$L$5:$L$124,Assignments!$D$5:$D$124,$B26,Assignments!$E$5:$E$124,$D26),"—")</f>
        <v/>
      </c>
      <c r="G26" s="17">
        <f>COUNTIFS(Quizzes!$C$5:$C$124,$B26,Quizzes!$D$5:$D$124,$D26)</f>
        <v/>
      </c>
      <c r="H26" s="48">
        <f>IFERROR(AVERAGEIFS(Quizzes!$J$5:$J$124,Quizzes!$C$5:$C$124,$B26,Quizzes!$D$5:$D$124,$D26),"—")</f>
        <v/>
      </c>
      <c r="I26" s="48">
        <f>IFERROR(IF((E26+G26)=0,"—",(IFERROR(F26*E26,0)+IFERROR(H26*G26,0))/(E26+G26)),"—")</f>
        <v/>
      </c>
      <c r="J26" s="48">
        <f>IFERROR(MAX(IFERROR(MAXIFS(Assignments!$L$5:$L$124,Assignments!$D$5:$D$124,$B26,Assignments!$E$5:$E$124,$D26),0),IFERROR(MAXIFS(Quizzes!$J$5:$J$124,Quizzes!$C$5:$C$124,$B26,Quizzes!$D$5:$D$124,$D26),0)),"—")</f>
        <v/>
      </c>
      <c r="K26" s="48">
        <f>IFERROR(IF((E26+G26)=0,"—",MIN(IF(E26&gt;0,MINIFS(Assignments!$L$5:$L$124,Assignments!$D$5:$D$124,$B26,Assignments!$E$5:$E$124,$D26),9),IF(G26&gt;0,MINIFS(Quizzes!$J$5:$J$124,Quizzes!$C$5:$C$124,$B26,Quizzes!$D$5:$D$124,$D26),9))),"—")</f>
        <v/>
      </c>
      <c r="M26" s="52">
        <f>IF((E26+G26)=0,50,(1-IFERROR(I26,0))*100*MIN(1,(E26+G26)/3))</f>
        <v/>
      </c>
    </row>
    <row r="27">
      <c r="B27" s="51" t="inlineStr">
        <is>
          <t>Unit 1</t>
        </is>
      </c>
      <c r="C27" s="10" t="inlineStr">
        <is>
          <t>2. Equations, Formulae &amp; Identities</t>
        </is>
      </c>
      <c r="D27" s="10" t="inlineStr">
        <is>
          <t>Rearranging Formulas</t>
        </is>
      </c>
      <c r="E27" s="23">
        <f>COUNTIFS(Assignments!$D$5:$D$124,$B27,Assignments!$E$5:$E$124,$D27)</f>
        <v/>
      </c>
      <c r="F27" s="49">
        <f>IFERROR(AVERAGEIFS(Assignments!$L$5:$L$124,Assignments!$D$5:$D$124,$B27,Assignments!$E$5:$E$124,$D27),"—")</f>
        <v/>
      </c>
      <c r="G27" s="23">
        <f>COUNTIFS(Quizzes!$C$5:$C$124,$B27,Quizzes!$D$5:$D$124,$D27)</f>
        <v/>
      </c>
      <c r="H27" s="49">
        <f>IFERROR(AVERAGEIFS(Quizzes!$J$5:$J$124,Quizzes!$C$5:$C$124,$B27,Quizzes!$D$5:$D$124,$D27),"—")</f>
        <v/>
      </c>
      <c r="I27" s="49">
        <f>IFERROR(IF((E27+G27)=0,"—",(IFERROR(F27*E27,0)+IFERROR(H27*G27,0))/(E27+G27)),"—")</f>
        <v/>
      </c>
      <c r="J27" s="49">
        <f>IFERROR(MAX(IFERROR(MAXIFS(Assignments!$L$5:$L$124,Assignments!$D$5:$D$124,$B27,Assignments!$E$5:$E$124,$D27),0),IFERROR(MAXIFS(Quizzes!$J$5:$J$124,Quizzes!$C$5:$C$124,$B27,Quizzes!$D$5:$D$124,$D27),0)),"—")</f>
        <v/>
      </c>
      <c r="K27" s="49">
        <f>IFERROR(IF((E27+G27)=0,"—",MIN(IF(E27&gt;0,MINIFS(Assignments!$L$5:$L$124,Assignments!$D$5:$D$124,$B27,Assignments!$E$5:$E$124,$D27),9),IF(G27&gt;0,MINIFS(Quizzes!$J$5:$J$124,Quizzes!$C$5:$C$124,$B27,Quizzes!$D$5:$D$124,$D27),9))),"—")</f>
        <v/>
      </c>
      <c r="M27" s="53">
        <f>IF((E27+G27)=0,50,(1-IFERROR(I27,0))*100*MIN(1,(E27+G27)/3))</f>
        <v/>
      </c>
    </row>
    <row r="28">
      <c r="B28" s="51" t="inlineStr">
        <is>
          <t>Unit 1</t>
        </is>
      </c>
      <c r="C28" s="8" t="inlineStr">
        <is>
          <t>2. Equations, Formulae &amp; Identities</t>
        </is>
      </c>
      <c r="D28" s="8" t="inlineStr">
        <is>
          <t>Algebraic Proof</t>
        </is>
      </c>
      <c r="E28" s="17">
        <f>COUNTIFS(Assignments!$D$5:$D$124,$B28,Assignments!$E$5:$E$124,$D28)</f>
        <v/>
      </c>
      <c r="F28" s="48">
        <f>IFERROR(AVERAGEIFS(Assignments!$L$5:$L$124,Assignments!$D$5:$D$124,$B28,Assignments!$E$5:$E$124,$D28),"—")</f>
        <v/>
      </c>
      <c r="G28" s="17">
        <f>COUNTIFS(Quizzes!$C$5:$C$124,$B28,Quizzes!$D$5:$D$124,$D28)</f>
        <v/>
      </c>
      <c r="H28" s="48">
        <f>IFERROR(AVERAGEIFS(Quizzes!$J$5:$J$124,Quizzes!$C$5:$C$124,$B28,Quizzes!$D$5:$D$124,$D28),"—")</f>
        <v/>
      </c>
      <c r="I28" s="48">
        <f>IFERROR(IF((E28+G28)=0,"—",(IFERROR(F28*E28,0)+IFERROR(H28*G28,0))/(E28+G28)),"—")</f>
        <v/>
      </c>
      <c r="J28" s="48">
        <f>IFERROR(MAX(IFERROR(MAXIFS(Assignments!$L$5:$L$124,Assignments!$D$5:$D$124,$B28,Assignments!$E$5:$E$124,$D28),0),IFERROR(MAXIFS(Quizzes!$J$5:$J$124,Quizzes!$C$5:$C$124,$B28,Quizzes!$D$5:$D$124,$D28),0)),"—")</f>
        <v/>
      </c>
      <c r="K28" s="48">
        <f>IFERROR(IF((E28+G28)=0,"—",MIN(IF(E28&gt;0,MINIFS(Assignments!$L$5:$L$124,Assignments!$D$5:$D$124,$B28,Assignments!$E$5:$E$124,$D28),9),IF(G28&gt;0,MINIFS(Quizzes!$J$5:$J$124,Quizzes!$C$5:$C$124,$B28,Quizzes!$D$5:$D$124,$D28),9))),"—")</f>
        <v/>
      </c>
      <c r="M28" s="52">
        <f>IF((E28+G28)=0,50,(1-IFERROR(I28,0))*100*MIN(1,(E28+G28)/3))</f>
        <v/>
      </c>
    </row>
    <row r="29">
      <c r="B29" s="51" t="inlineStr">
        <is>
          <t>Unit 1</t>
        </is>
      </c>
      <c r="C29" s="10" t="inlineStr">
        <is>
          <t>2. Equations, Formulae &amp; Identities</t>
        </is>
      </c>
      <c r="D29" s="10" t="inlineStr">
        <is>
          <t>Solving Linear Equations</t>
        </is>
      </c>
      <c r="E29" s="23">
        <f>COUNTIFS(Assignments!$D$5:$D$124,$B29,Assignments!$E$5:$E$124,$D29)</f>
        <v/>
      </c>
      <c r="F29" s="49">
        <f>IFERROR(AVERAGEIFS(Assignments!$L$5:$L$124,Assignments!$D$5:$D$124,$B29,Assignments!$E$5:$E$124,$D29),"—")</f>
        <v/>
      </c>
      <c r="G29" s="23">
        <f>COUNTIFS(Quizzes!$C$5:$C$124,$B29,Quizzes!$D$5:$D$124,$D29)</f>
        <v/>
      </c>
      <c r="H29" s="49">
        <f>IFERROR(AVERAGEIFS(Quizzes!$J$5:$J$124,Quizzes!$C$5:$C$124,$B29,Quizzes!$D$5:$D$124,$D29),"—")</f>
        <v/>
      </c>
      <c r="I29" s="49">
        <f>IFERROR(IF((E29+G29)=0,"—",(IFERROR(F29*E29,0)+IFERROR(H29*G29,0))/(E29+G29)),"—")</f>
        <v/>
      </c>
      <c r="J29" s="49">
        <f>IFERROR(MAX(IFERROR(MAXIFS(Assignments!$L$5:$L$124,Assignments!$D$5:$D$124,$B29,Assignments!$E$5:$E$124,$D29),0),IFERROR(MAXIFS(Quizzes!$J$5:$J$124,Quizzes!$C$5:$C$124,$B29,Quizzes!$D$5:$D$124,$D29),0)),"—")</f>
        <v/>
      </c>
      <c r="K29" s="49">
        <f>IFERROR(IF((E29+G29)=0,"—",MIN(IF(E29&gt;0,MINIFS(Assignments!$L$5:$L$124,Assignments!$D$5:$D$124,$B29,Assignments!$E$5:$E$124,$D29),9),IF(G29&gt;0,MINIFS(Quizzes!$J$5:$J$124,Quizzes!$C$5:$C$124,$B29,Quizzes!$D$5:$D$124,$D29),9))),"—")</f>
        <v/>
      </c>
      <c r="M29" s="53">
        <f>IF((E29+G29)=0,50,(1-IFERROR(I29,0))*100*MIN(1,(E29+G29)/3))</f>
        <v/>
      </c>
    </row>
    <row r="30">
      <c r="B30" s="51" t="inlineStr">
        <is>
          <t>Unit 1</t>
        </is>
      </c>
      <c r="C30" s="8" t="inlineStr">
        <is>
          <t>2. Equations, Formulae &amp; Identities</t>
        </is>
      </c>
      <c r="D30" s="8" t="inlineStr">
        <is>
          <t>Solving Quadratic Equations</t>
        </is>
      </c>
      <c r="E30" s="17">
        <f>COUNTIFS(Assignments!$D$5:$D$124,$B30,Assignments!$E$5:$E$124,$D30)</f>
        <v/>
      </c>
      <c r="F30" s="48">
        <f>IFERROR(AVERAGEIFS(Assignments!$L$5:$L$124,Assignments!$D$5:$D$124,$B30,Assignments!$E$5:$E$124,$D30),"—")</f>
        <v/>
      </c>
      <c r="G30" s="17">
        <f>COUNTIFS(Quizzes!$C$5:$C$124,$B30,Quizzes!$D$5:$D$124,$D30)</f>
        <v/>
      </c>
      <c r="H30" s="48">
        <f>IFERROR(AVERAGEIFS(Quizzes!$J$5:$J$124,Quizzes!$C$5:$C$124,$B30,Quizzes!$D$5:$D$124,$D30),"—")</f>
        <v/>
      </c>
      <c r="I30" s="48">
        <f>IFERROR(IF((E30+G30)=0,"—",(IFERROR(F30*E30,0)+IFERROR(H30*G30,0))/(E30+G30)),"—")</f>
        <v/>
      </c>
      <c r="J30" s="48">
        <f>IFERROR(MAX(IFERROR(MAXIFS(Assignments!$L$5:$L$124,Assignments!$D$5:$D$124,$B30,Assignments!$E$5:$E$124,$D30),0),IFERROR(MAXIFS(Quizzes!$J$5:$J$124,Quizzes!$C$5:$C$124,$B30,Quizzes!$D$5:$D$124,$D30),0)),"—")</f>
        <v/>
      </c>
      <c r="K30" s="48">
        <f>IFERROR(IF((E30+G30)=0,"—",MIN(IF(E30&gt;0,MINIFS(Assignments!$L$5:$L$124,Assignments!$D$5:$D$124,$B30,Assignments!$E$5:$E$124,$D30),9),IF(G30&gt;0,MINIFS(Quizzes!$J$5:$J$124,Quizzes!$C$5:$C$124,$B30,Quizzes!$D$5:$D$124,$D30),9))),"—")</f>
        <v/>
      </c>
      <c r="M30" s="52">
        <f>IF((E30+G30)=0,50,(1-IFERROR(I30,0))*100*MIN(1,(E30+G30)/3))</f>
        <v/>
      </c>
    </row>
    <row r="31">
      <c r="B31" s="51" t="inlineStr">
        <is>
          <t>Unit 1</t>
        </is>
      </c>
      <c r="C31" s="10" t="inlineStr">
        <is>
          <t>2. Equations, Formulae &amp; Identities</t>
        </is>
      </c>
      <c r="D31" s="10" t="inlineStr">
        <is>
          <t>Solving Inequalities</t>
        </is>
      </c>
      <c r="E31" s="23">
        <f>COUNTIFS(Assignments!$D$5:$D$124,$B31,Assignments!$E$5:$E$124,$D31)</f>
        <v/>
      </c>
      <c r="F31" s="49">
        <f>IFERROR(AVERAGEIFS(Assignments!$L$5:$L$124,Assignments!$D$5:$D$124,$B31,Assignments!$E$5:$E$124,$D31),"—")</f>
        <v/>
      </c>
      <c r="G31" s="23">
        <f>COUNTIFS(Quizzes!$C$5:$C$124,$B31,Quizzes!$D$5:$D$124,$D31)</f>
        <v/>
      </c>
      <c r="H31" s="49">
        <f>IFERROR(AVERAGEIFS(Quizzes!$J$5:$J$124,Quizzes!$C$5:$C$124,$B31,Quizzes!$D$5:$D$124,$D31),"—")</f>
        <v/>
      </c>
      <c r="I31" s="49">
        <f>IFERROR(IF((E31+G31)=0,"—",(IFERROR(F31*E31,0)+IFERROR(H31*G31,0))/(E31+G31)),"—")</f>
        <v/>
      </c>
      <c r="J31" s="49">
        <f>IFERROR(MAX(IFERROR(MAXIFS(Assignments!$L$5:$L$124,Assignments!$D$5:$D$124,$B31,Assignments!$E$5:$E$124,$D31),0),IFERROR(MAXIFS(Quizzes!$J$5:$J$124,Quizzes!$C$5:$C$124,$B31,Quizzes!$D$5:$D$124,$D31),0)),"—")</f>
        <v/>
      </c>
      <c r="K31" s="49">
        <f>IFERROR(IF((E31+G31)=0,"—",MIN(IF(E31&gt;0,MINIFS(Assignments!$L$5:$L$124,Assignments!$D$5:$D$124,$B31,Assignments!$E$5:$E$124,$D31),9),IF(G31&gt;0,MINIFS(Quizzes!$J$5:$J$124,Quizzes!$C$5:$C$124,$B31,Quizzes!$D$5:$D$124,$D31),9))),"—")</f>
        <v/>
      </c>
      <c r="M31" s="53">
        <f>IF((E31+G31)=0,50,(1-IFERROR(I31,0))*100*MIN(1,(E31+G31)/3))</f>
        <v/>
      </c>
    </row>
    <row r="32">
      <c r="B32" s="51" t="inlineStr">
        <is>
          <t>Unit 1</t>
        </is>
      </c>
      <c r="C32" s="8" t="inlineStr">
        <is>
          <t>2. Equations, Formulae &amp; Identities</t>
        </is>
      </c>
      <c r="D32" s="8" t="inlineStr">
        <is>
          <t>Simultaneous Equations</t>
        </is>
      </c>
      <c r="E32" s="17">
        <f>COUNTIFS(Assignments!$D$5:$D$124,$B32,Assignments!$E$5:$E$124,$D32)</f>
        <v/>
      </c>
      <c r="F32" s="48">
        <f>IFERROR(AVERAGEIFS(Assignments!$L$5:$L$124,Assignments!$D$5:$D$124,$B32,Assignments!$E$5:$E$124,$D32),"—")</f>
        <v/>
      </c>
      <c r="G32" s="17">
        <f>COUNTIFS(Quizzes!$C$5:$C$124,$B32,Quizzes!$D$5:$D$124,$D32)</f>
        <v/>
      </c>
      <c r="H32" s="48">
        <f>IFERROR(AVERAGEIFS(Quizzes!$J$5:$J$124,Quizzes!$C$5:$C$124,$B32,Quizzes!$D$5:$D$124,$D32),"—")</f>
        <v/>
      </c>
      <c r="I32" s="48">
        <f>IFERROR(IF((E32+G32)=0,"—",(IFERROR(F32*E32,0)+IFERROR(H32*G32,0))/(E32+G32)),"—")</f>
        <v/>
      </c>
      <c r="J32" s="48">
        <f>IFERROR(MAX(IFERROR(MAXIFS(Assignments!$L$5:$L$124,Assignments!$D$5:$D$124,$B32,Assignments!$E$5:$E$124,$D32),0),IFERROR(MAXIFS(Quizzes!$J$5:$J$124,Quizzes!$C$5:$C$124,$B32,Quizzes!$D$5:$D$124,$D32),0)),"—")</f>
        <v/>
      </c>
      <c r="K32" s="48">
        <f>IFERROR(IF((E32+G32)=0,"—",MIN(IF(E32&gt;0,MINIFS(Assignments!$L$5:$L$124,Assignments!$D$5:$D$124,$B32,Assignments!$E$5:$E$124,$D32),9),IF(G32&gt;0,MINIFS(Quizzes!$J$5:$J$124,Quizzes!$C$5:$C$124,$B32,Quizzes!$D$5:$D$124,$D32),9))),"—")</f>
        <v/>
      </c>
      <c r="M32" s="52">
        <f>IF((E32+G32)=0,50,(1-IFERROR(I32,0))*100*MIN(1,(E32+G32)/3))</f>
        <v/>
      </c>
    </row>
    <row r="33">
      <c r="B33" s="51" t="inlineStr">
        <is>
          <t>Unit 1</t>
        </is>
      </c>
      <c r="C33" s="10" t="inlineStr">
        <is>
          <t>2. Equations, Formulae &amp; Identities</t>
        </is>
      </c>
      <c r="D33" s="10" t="inlineStr">
        <is>
          <t>Forming &amp; Solving Equations</t>
        </is>
      </c>
      <c r="E33" s="23">
        <f>COUNTIFS(Assignments!$D$5:$D$124,$B33,Assignments!$E$5:$E$124,$D33)</f>
        <v/>
      </c>
      <c r="F33" s="49">
        <f>IFERROR(AVERAGEIFS(Assignments!$L$5:$L$124,Assignments!$D$5:$D$124,$B33,Assignments!$E$5:$E$124,$D33),"—")</f>
        <v/>
      </c>
      <c r="G33" s="23">
        <f>COUNTIFS(Quizzes!$C$5:$C$124,$B33,Quizzes!$D$5:$D$124,$D33)</f>
        <v/>
      </c>
      <c r="H33" s="49">
        <f>IFERROR(AVERAGEIFS(Quizzes!$J$5:$J$124,Quizzes!$C$5:$C$124,$B33,Quizzes!$D$5:$D$124,$D33),"—")</f>
        <v/>
      </c>
      <c r="I33" s="49">
        <f>IFERROR(IF((E33+G33)=0,"—",(IFERROR(F33*E33,0)+IFERROR(H33*G33,0))/(E33+G33)),"—")</f>
        <v/>
      </c>
      <c r="J33" s="49">
        <f>IFERROR(MAX(IFERROR(MAXIFS(Assignments!$L$5:$L$124,Assignments!$D$5:$D$124,$B33,Assignments!$E$5:$E$124,$D33),0),IFERROR(MAXIFS(Quizzes!$J$5:$J$124,Quizzes!$C$5:$C$124,$B33,Quizzes!$D$5:$D$124,$D33),0)),"—")</f>
        <v/>
      </c>
      <c r="K33" s="49">
        <f>IFERROR(IF((E33+G33)=0,"—",MIN(IF(E33&gt;0,MINIFS(Assignments!$L$5:$L$124,Assignments!$D$5:$D$124,$B33,Assignments!$E$5:$E$124,$D33),9),IF(G33&gt;0,MINIFS(Quizzes!$J$5:$J$124,Quizzes!$C$5:$C$124,$B33,Quizzes!$D$5:$D$124,$D33),9))),"—")</f>
        <v/>
      </c>
      <c r="M33" s="53">
        <f>IF((E33+G33)=0,50,(1-IFERROR(I33,0))*100*MIN(1,(E33+G33)/3))</f>
        <v/>
      </c>
    </row>
    <row r="34">
      <c r="B34" s="51" t="inlineStr">
        <is>
          <t>Unit 1</t>
        </is>
      </c>
      <c r="C34" s="8" t="inlineStr">
        <is>
          <t>3. Sequences, Functions &amp; Graphs</t>
        </is>
      </c>
      <c r="D34" s="8" t="inlineStr">
        <is>
          <t>Sequences</t>
        </is>
      </c>
      <c r="E34" s="17">
        <f>COUNTIFS(Assignments!$D$5:$D$124,$B34,Assignments!$E$5:$E$124,$D34)</f>
        <v/>
      </c>
      <c r="F34" s="48">
        <f>IFERROR(AVERAGEIFS(Assignments!$L$5:$L$124,Assignments!$D$5:$D$124,$B34,Assignments!$E$5:$E$124,$D34),"—")</f>
        <v/>
      </c>
      <c r="G34" s="17">
        <f>COUNTIFS(Quizzes!$C$5:$C$124,$B34,Quizzes!$D$5:$D$124,$D34)</f>
        <v/>
      </c>
      <c r="H34" s="48">
        <f>IFERROR(AVERAGEIFS(Quizzes!$J$5:$J$124,Quizzes!$C$5:$C$124,$B34,Quizzes!$D$5:$D$124,$D34),"—")</f>
        <v/>
      </c>
      <c r="I34" s="48">
        <f>IFERROR(IF((E34+G34)=0,"—",(IFERROR(F34*E34,0)+IFERROR(H34*G34,0))/(E34+G34)),"—")</f>
        <v/>
      </c>
      <c r="J34" s="48">
        <f>IFERROR(MAX(IFERROR(MAXIFS(Assignments!$L$5:$L$124,Assignments!$D$5:$D$124,$B34,Assignments!$E$5:$E$124,$D34),0),IFERROR(MAXIFS(Quizzes!$J$5:$J$124,Quizzes!$C$5:$C$124,$B34,Quizzes!$D$5:$D$124,$D34),0)),"—")</f>
        <v/>
      </c>
      <c r="K34" s="48">
        <f>IFERROR(IF((E34+G34)=0,"—",MIN(IF(E34&gt;0,MINIFS(Assignments!$L$5:$L$124,Assignments!$D$5:$D$124,$B34,Assignments!$E$5:$E$124,$D34),9),IF(G34&gt;0,MINIFS(Quizzes!$J$5:$J$124,Quizzes!$C$5:$C$124,$B34,Quizzes!$D$5:$D$124,$D34),9))),"—")</f>
        <v/>
      </c>
      <c r="M34" s="52">
        <f>IF((E34+G34)=0,50,(1-IFERROR(I34,0))*100*MIN(1,(E34+G34)/3))</f>
        <v/>
      </c>
    </row>
    <row r="35">
      <c r="B35" s="51" t="inlineStr">
        <is>
          <t>Unit 1</t>
        </is>
      </c>
      <c r="C35" s="10" t="inlineStr">
        <is>
          <t>3. Sequences, Functions &amp; Graphs</t>
        </is>
      </c>
      <c r="D35" s="10" t="inlineStr">
        <is>
          <t>Functions</t>
        </is>
      </c>
      <c r="E35" s="23">
        <f>COUNTIFS(Assignments!$D$5:$D$124,$B35,Assignments!$E$5:$E$124,$D35)</f>
        <v/>
      </c>
      <c r="F35" s="49">
        <f>IFERROR(AVERAGEIFS(Assignments!$L$5:$L$124,Assignments!$D$5:$D$124,$B35,Assignments!$E$5:$E$124,$D35),"—")</f>
        <v/>
      </c>
      <c r="G35" s="23">
        <f>COUNTIFS(Quizzes!$C$5:$C$124,$B35,Quizzes!$D$5:$D$124,$D35)</f>
        <v/>
      </c>
      <c r="H35" s="49">
        <f>IFERROR(AVERAGEIFS(Quizzes!$J$5:$J$124,Quizzes!$C$5:$C$124,$B35,Quizzes!$D$5:$D$124,$D35),"—")</f>
        <v/>
      </c>
      <c r="I35" s="49">
        <f>IFERROR(IF((E35+G35)=0,"—",(IFERROR(F35*E35,0)+IFERROR(H35*G35,0))/(E35+G35)),"—")</f>
        <v/>
      </c>
      <c r="J35" s="49">
        <f>IFERROR(MAX(IFERROR(MAXIFS(Assignments!$L$5:$L$124,Assignments!$D$5:$D$124,$B35,Assignments!$E$5:$E$124,$D35),0),IFERROR(MAXIFS(Quizzes!$J$5:$J$124,Quizzes!$C$5:$C$124,$B35,Quizzes!$D$5:$D$124,$D35),0)),"—")</f>
        <v/>
      </c>
      <c r="K35" s="49">
        <f>IFERROR(IF((E35+G35)=0,"—",MIN(IF(E35&gt;0,MINIFS(Assignments!$L$5:$L$124,Assignments!$D$5:$D$124,$B35,Assignments!$E$5:$E$124,$D35),9),IF(G35&gt;0,MINIFS(Quizzes!$J$5:$J$124,Quizzes!$C$5:$C$124,$B35,Quizzes!$D$5:$D$124,$D35),9))),"—")</f>
        <v/>
      </c>
      <c r="M35" s="53">
        <f>IF((E35+G35)=0,50,(1-IFERROR(I35,0))*100*MIN(1,(E35+G35)/3))</f>
        <v/>
      </c>
    </row>
    <row r="36">
      <c r="B36" s="51" t="inlineStr">
        <is>
          <t>Unit 1</t>
        </is>
      </c>
      <c r="C36" s="8" t="inlineStr">
        <is>
          <t>3. Sequences, Functions &amp; Graphs</t>
        </is>
      </c>
      <c r="D36" s="8" t="inlineStr">
        <is>
          <t>Coordinate Geometry</t>
        </is>
      </c>
      <c r="E36" s="17">
        <f>COUNTIFS(Assignments!$D$5:$D$124,$B36,Assignments!$E$5:$E$124,$D36)</f>
        <v/>
      </c>
      <c r="F36" s="48">
        <f>IFERROR(AVERAGEIFS(Assignments!$L$5:$L$124,Assignments!$D$5:$D$124,$B36,Assignments!$E$5:$E$124,$D36),"—")</f>
        <v/>
      </c>
      <c r="G36" s="17">
        <f>COUNTIFS(Quizzes!$C$5:$C$124,$B36,Quizzes!$D$5:$D$124,$D36)</f>
        <v/>
      </c>
      <c r="H36" s="48">
        <f>IFERROR(AVERAGEIFS(Quizzes!$J$5:$J$124,Quizzes!$C$5:$C$124,$B36,Quizzes!$D$5:$D$124,$D36),"—")</f>
        <v/>
      </c>
      <c r="I36" s="48">
        <f>IFERROR(IF((E36+G36)=0,"—",(IFERROR(F36*E36,0)+IFERROR(H36*G36,0))/(E36+G36)),"—")</f>
        <v/>
      </c>
      <c r="J36" s="48">
        <f>IFERROR(MAX(IFERROR(MAXIFS(Assignments!$L$5:$L$124,Assignments!$D$5:$D$124,$B36,Assignments!$E$5:$E$124,$D36),0),IFERROR(MAXIFS(Quizzes!$J$5:$J$124,Quizzes!$C$5:$C$124,$B36,Quizzes!$D$5:$D$124,$D36),0)),"—")</f>
        <v/>
      </c>
      <c r="K36" s="48">
        <f>IFERROR(IF((E36+G36)=0,"—",MIN(IF(E36&gt;0,MINIFS(Assignments!$L$5:$L$124,Assignments!$D$5:$D$124,$B36,Assignments!$E$5:$E$124,$D36),9),IF(G36&gt;0,MINIFS(Quizzes!$J$5:$J$124,Quizzes!$C$5:$C$124,$B36,Quizzes!$D$5:$D$124,$D36),9))),"—")</f>
        <v/>
      </c>
      <c r="M36" s="52">
        <f>IF((E36+G36)=0,50,(1-IFERROR(I36,0))*100*MIN(1,(E36+G36)/3))</f>
        <v/>
      </c>
    </row>
    <row r="37">
      <c r="B37" s="51" t="inlineStr">
        <is>
          <t>Unit 1</t>
        </is>
      </c>
      <c r="C37" s="10" t="inlineStr">
        <is>
          <t>3. Sequences, Functions &amp; Graphs</t>
        </is>
      </c>
      <c r="D37" s="10" t="inlineStr">
        <is>
          <t>Linear Graphs (y = mx + c)</t>
        </is>
      </c>
      <c r="E37" s="23">
        <f>COUNTIFS(Assignments!$D$5:$D$124,$B37,Assignments!$E$5:$E$124,$D37)</f>
        <v/>
      </c>
      <c r="F37" s="49">
        <f>IFERROR(AVERAGEIFS(Assignments!$L$5:$L$124,Assignments!$D$5:$D$124,$B37,Assignments!$E$5:$E$124,$D37),"—")</f>
        <v/>
      </c>
      <c r="G37" s="23">
        <f>COUNTIFS(Quizzes!$C$5:$C$124,$B37,Quizzes!$D$5:$D$124,$D37)</f>
        <v/>
      </c>
      <c r="H37" s="49">
        <f>IFERROR(AVERAGEIFS(Quizzes!$J$5:$J$124,Quizzes!$C$5:$C$124,$B37,Quizzes!$D$5:$D$124,$D37),"—")</f>
        <v/>
      </c>
      <c r="I37" s="49">
        <f>IFERROR(IF((E37+G37)=0,"—",(IFERROR(F37*E37,0)+IFERROR(H37*G37,0))/(E37+G37)),"—")</f>
        <v/>
      </c>
      <c r="J37" s="49">
        <f>IFERROR(MAX(IFERROR(MAXIFS(Assignments!$L$5:$L$124,Assignments!$D$5:$D$124,$B37,Assignments!$E$5:$E$124,$D37),0),IFERROR(MAXIFS(Quizzes!$J$5:$J$124,Quizzes!$C$5:$C$124,$B37,Quizzes!$D$5:$D$124,$D37),0)),"—")</f>
        <v/>
      </c>
      <c r="K37" s="49">
        <f>IFERROR(IF((E37+G37)=0,"—",MIN(IF(E37&gt;0,MINIFS(Assignments!$L$5:$L$124,Assignments!$D$5:$D$124,$B37,Assignments!$E$5:$E$124,$D37),9),IF(G37&gt;0,MINIFS(Quizzes!$J$5:$J$124,Quizzes!$C$5:$C$124,$B37,Quizzes!$D$5:$D$124,$D37),9))),"—")</f>
        <v/>
      </c>
      <c r="M37" s="53">
        <f>IF((E37+G37)=0,50,(1-IFERROR(I37,0))*100*MIN(1,(E37+G37)/3))</f>
        <v/>
      </c>
    </row>
    <row r="38">
      <c r="B38" s="51" t="inlineStr">
        <is>
          <t>Unit 1</t>
        </is>
      </c>
      <c r="C38" s="8" t="inlineStr">
        <is>
          <t>3. Sequences, Functions &amp; Graphs</t>
        </is>
      </c>
      <c r="D38" s="8" t="inlineStr">
        <is>
          <t>Graphs of Functions</t>
        </is>
      </c>
      <c r="E38" s="17">
        <f>COUNTIFS(Assignments!$D$5:$D$124,$B38,Assignments!$E$5:$E$124,$D38)</f>
        <v/>
      </c>
      <c r="F38" s="48">
        <f>IFERROR(AVERAGEIFS(Assignments!$L$5:$L$124,Assignments!$D$5:$D$124,$B38,Assignments!$E$5:$E$124,$D38),"—")</f>
        <v/>
      </c>
      <c r="G38" s="17">
        <f>COUNTIFS(Quizzes!$C$5:$C$124,$B38,Quizzes!$D$5:$D$124,$D38)</f>
        <v/>
      </c>
      <c r="H38" s="48">
        <f>IFERROR(AVERAGEIFS(Quizzes!$J$5:$J$124,Quizzes!$C$5:$C$124,$B38,Quizzes!$D$5:$D$124,$D38),"—")</f>
        <v/>
      </c>
      <c r="I38" s="48">
        <f>IFERROR(IF((E38+G38)=0,"—",(IFERROR(F38*E38,0)+IFERROR(H38*G38,0))/(E38+G38)),"—")</f>
        <v/>
      </c>
      <c r="J38" s="48">
        <f>IFERROR(MAX(IFERROR(MAXIFS(Assignments!$L$5:$L$124,Assignments!$D$5:$D$124,$B38,Assignments!$E$5:$E$124,$D38),0),IFERROR(MAXIFS(Quizzes!$J$5:$J$124,Quizzes!$C$5:$C$124,$B38,Quizzes!$D$5:$D$124,$D38),0)),"—")</f>
        <v/>
      </c>
      <c r="K38" s="48">
        <f>IFERROR(IF((E38+G38)=0,"—",MIN(IF(E38&gt;0,MINIFS(Assignments!$L$5:$L$124,Assignments!$D$5:$D$124,$B38,Assignments!$E$5:$E$124,$D38),9),IF(G38&gt;0,MINIFS(Quizzes!$J$5:$J$124,Quizzes!$C$5:$C$124,$B38,Quizzes!$D$5:$D$124,$D38),9))),"—")</f>
        <v/>
      </c>
      <c r="M38" s="52">
        <f>IF((E38+G38)=0,50,(1-IFERROR(I38,0))*100*MIN(1,(E38+G38)/3))</f>
        <v/>
      </c>
    </row>
    <row r="39">
      <c r="B39" s="51" t="inlineStr">
        <is>
          <t>Unit 1</t>
        </is>
      </c>
      <c r="C39" s="10" t="inlineStr">
        <is>
          <t>3. Sequences, Functions &amp; Graphs</t>
        </is>
      </c>
      <c r="D39" s="10" t="inlineStr">
        <is>
          <t>Estimating Gradients</t>
        </is>
      </c>
      <c r="E39" s="23">
        <f>COUNTIFS(Assignments!$D$5:$D$124,$B39,Assignments!$E$5:$E$124,$D39)</f>
        <v/>
      </c>
      <c r="F39" s="49">
        <f>IFERROR(AVERAGEIFS(Assignments!$L$5:$L$124,Assignments!$D$5:$D$124,$B39,Assignments!$E$5:$E$124,$D39),"—")</f>
        <v/>
      </c>
      <c r="G39" s="23">
        <f>COUNTIFS(Quizzes!$C$5:$C$124,$B39,Quizzes!$D$5:$D$124,$D39)</f>
        <v/>
      </c>
      <c r="H39" s="49">
        <f>IFERROR(AVERAGEIFS(Quizzes!$J$5:$J$124,Quizzes!$C$5:$C$124,$B39,Quizzes!$D$5:$D$124,$D39),"—")</f>
        <v/>
      </c>
      <c r="I39" s="49">
        <f>IFERROR(IF((E39+G39)=0,"—",(IFERROR(F39*E39,0)+IFERROR(H39*G39,0))/(E39+G39)),"—")</f>
        <v/>
      </c>
      <c r="J39" s="49">
        <f>IFERROR(MAX(IFERROR(MAXIFS(Assignments!$L$5:$L$124,Assignments!$D$5:$D$124,$B39,Assignments!$E$5:$E$124,$D39),0),IFERROR(MAXIFS(Quizzes!$J$5:$J$124,Quizzes!$C$5:$C$124,$B39,Quizzes!$D$5:$D$124,$D39),0)),"—")</f>
        <v/>
      </c>
      <c r="K39" s="49">
        <f>IFERROR(IF((E39+G39)=0,"—",MIN(IF(E39&gt;0,MINIFS(Assignments!$L$5:$L$124,Assignments!$D$5:$D$124,$B39,Assignments!$E$5:$E$124,$D39),9),IF(G39&gt;0,MINIFS(Quizzes!$J$5:$J$124,Quizzes!$C$5:$C$124,$B39,Quizzes!$D$5:$D$124,$D39),9))),"—")</f>
        <v/>
      </c>
      <c r="M39" s="53">
        <f>IF((E39+G39)=0,50,(1-IFERROR(I39,0))*100*MIN(1,(E39+G39)/3))</f>
        <v/>
      </c>
    </row>
    <row r="40">
      <c r="B40" s="51" t="inlineStr">
        <is>
          <t>Unit 1</t>
        </is>
      </c>
      <c r="C40" s="8" t="inlineStr">
        <is>
          <t>3. Sequences, Functions &amp; Graphs</t>
        </is>
      </c>
      <c r="D40" s="8" t="inlineStr">
        <is>
          <t>Real-Life Graphs</t>
        </is>
      </c>
      <c r="E40" s="17">
        <f>COUNTIFS(Assignments!$D$5:$D$124,$B40,Assignments!$E$5:$E$124,$D40)</f>
        <v/>
      </c>
      <c r="F40" s="48">
        <f>IFERROR(AVERAGEIFS(Assignments!$L$5:$L$124,Assignments!$D$5:$D$124,$B40,Assignments!$E$5:$E$124,$D40),"—")</f>
        <v/>
      </c>
      <c r="G40" s="17">
        <f>COUNTIFS(Quizzes!$C$5:$C$124,$B40,Quizzes!$D$5:$D$124,$D40)</f>
        <v/>
      </c>
      <c r="H40" s="48">
        <f>IFERROR(AVERAGEIFS(Quizzes!$J$5:$J$124,Quizzes!$C$5:$C$124,$B40,Quizzes!$D$5:$D$124,$D40),"—")</f>
        <v/>
      </c>
      <c r="I40" s="48">
        <f>IFERROR(IF((E40+G40)=0,"—",(IFERROR(F40*E40,0)+IFERROR(H40*G40,0))/(E40+G40)),"—")</f>
        <v/>
      </c>
      <c r="J40" s="48">
        <f>IFERROR(MAX(IFERROR(MAXIFS(Assignments!$L$5:$L$124,Assignments!$D$5:$D$124,$B40,Assignments!$E$5:$E$124,$D40),0),IFERROR(MAXIFS(Quizzes!$J$5:$J$124,Quizzes!$C$5:$C$124,$B40,Quizzes!$D$5:$D$124,$D40),0)),"—")</f>
        <v/>
      </c>
      <c r="K40" s="48">
        <f>IFERROR(IF((E40+G40)=0,"—",MIN(IF(E40&gt;0,MINIFS(Assignments!$L$5:$L$124,Assignments!$D$5:$D$124,$B40,Assignments!$E$5:$E$124,$D40),9),IF(G40&gt;0,MINIFS(Quizzes!$J$5:$J$124,Quizzes!$C$5:$C$124,$B40,Quizzes!$D$5:$D$124,$D40),9))),"—")</f>
        <v/>
      </c>
      <c r="M40" s="52">
        <f>IF((E40+G40)=0,50,(1-IFERROR(I40,0))*100*MIN(1,(E40+G40)/3))</f>
        <v/>
      </c>
    </row>
    <row r="41">
      <c r="B41" s="51" t="inlineStr">
        <is>
          <t>Unit 1</t>
        </is>
      </c>
      <c r="C41" s="10" t="inlineStr">
        <is>
          <t>3. Sequences, Functions &amp; Graphs</t>
        </is>
      </c>
      <c r="D41" s="10" t="inlineStr">
        <is>
          <t>Graphing Inequalities</t>
        </is>
      </c>
      <c r="E41" s="23">
        <f>COUNTIFS(Assignments!$D$5:$D$124,$B41,Assignments!$E$5:$E$124,$D41)</f>
        <v/>
      </c>
      <c r="F41" s="49">
        <f>IFERROR(AVERAGEIFS(Assignments!$L$5:$L$124,Assignments!$D$5:$D$124,$B41,Assignments!$E$5:$E$124,$D41),"—")</f>
        <v/>
      </c>
      <c r="G41" s="23">
        <f>COUNTIFS(Quizzes!$C$5:$C$124,$B41,Quizzes!$D$5:$D$124,$D41)</f>
        <v/>
      </c>
      <c r="H41" s="49">
        <f>IFERROR(AVERAGEIFS(Quizzes!$J$5:$J$124,Quizzes!$C$5:$C$124,$B41,Quizzes!$D$5:$D$124,$D41),"—")</f>
        <v/>
      </c>
      <c r="I41" s="49">
        <f>IFERROR(IF((E41+G41)=0,"—",(IFERROR(F41*E41,0)+IFERROR(H41*G41,0))/(E41+G41)),"—")</f>
        <v/>
      </c>
      <c r="J41" s="49">
        <f>IFERROR(MAX(IFERROR(MAXIFS(Assignments!$L$5:$L$124,Assignments!$D$5:$D$124,$B41,Assignments!$E$5:$E$124,$D41),0),IFERROR(MAXIFS(Quizzes!$J$5:$J$124,Quizzes!$C$5:$C$124,$B41,Quizzes!$D$5:$D$124,$D41),0)),"—")</f>
        <v/>
      </c>
      <c r="K41" s="49">
        <f>IFERROR(IF((E41+G41)=0,"—",MIN(IF(E41&gt;0,MINIFS(Assignments!$L$5:$L$124,Assignments!$D$5:$D$124,$B41,Assignments!$E$5:$E$124,$D41),9),IF(G41&gt;0,MINIFS(Quizzes!$J$5:$J$124,Quizzes!$C$5:$C$124,$B41,Quizzes!$D$5:$D$124,$D41),9))),"—")</f>
        <v/>
      </c>
      <c r="M41" s="53">
        <f>IF((E41+G41)=0,50,(1-IFERROR(I41,0))*100*MIN(1,(E41+G41)/3))</f>
        <v/>
      </c>
    </row>
    <row r="42">
      <c r="B42" s="51" t="inlineStr">
        <is>
          <t>Unit 1</t>
        </is>
      </c>
      <c r="C42" s="8" t="inlineStr">
        <is>
          <t>3. Sequences, Functions &amp; Graphs</t>
        </is>
      </c>
      <c r="D42" s="8" t="inlineStr">
        <is>
          <t>Transformations of Graphs</t>
        </is>
      </c>
      <c r="E42" s="17">
        <f>COUNTIFS(Assignments!$D$5:$D$124,$B42,Assignments!$E$5:$E$124,$D42)</f>
        <v/>
      </c>
      <c r="F42" s="48">
        <f>IFERROR(AVERAGEIFS(Assignments!$L$5:$L$124,Assignments!$D$5:$D$124,$B42,Assignments!$E$5:$E$124,$D42),"—")</f>
        <v/>
      </c>
      <c r="G42" s="17">
        <f>COUNTIFS(Quizzes!$C$5:$C$124,$B42,Quizzes!$D$5:$D$124,$D42)</f>
        <v/>
      </c>
      <c r="H42" s="48">
        <f>IFERROR(AVERAGEIFS(Quizzes!$J$5:$J$124,Quizzes!$C$5:$C$124,$B42,Quizzes!$D$5:$D$124,$D42),"—")</f>
        <v/>
      </c>
      <c r="I42" s="48">
        <f>IFERROR(IF((E42+G42)=0,"—",(IFERROR(F42*E42,0)+IFERROR(H42*G42,0))/(E42+G42)),"—")</f>
        <v/>
      </c>
      <c r="J42" s="48">
        <f>IFERROR(MAX(IFERROR(MAXIFS(Assignments!$L$5:$L$124,Assignments!$D$5:$D$124,$B42,Assignments!$E$5:$E$124,$D42),0),IFERROR(MAXIFS(Quizzes!$J$5:$J$124,Quizzes!$C$5:$C$124,$B42,Quizzes!$D$5:$D$124,$D42),0)),"—")</f>
        <v/>
      </c>
      <c r="K42" s="48">
        <f>IFERROR(IF((E42+G42)=0,"—",MIN(IF(E42&gt;0,MINIFS(Assignments!$L$5:$L$124,Assignments!$D$5:$D$124,$B42,Assignments!$E$5:$E$124,$D42),9),IF(G42&gt;0,MINIFS(Quizzes!$J$5:$J$124,Quizzes!$C$5:$C$124,$B42,Quizzes!$D$5:$D$124,$D42),9))),"—")</f>
        <v/>
      </c>
      <c r="M42" s="52">
        <f>IF((E42+G42)=0,50,(1-IFERROR(I42,0))*100*MIN(1,(E42+G42)/3))</f>
        <v/>
      </c>
    </row>
    <row r="43">
      <c r="B43" s="51" t="inlineStr">
        <is>
          <t>Unit 1</t>
        </is>
      </c>
      <c r="C43" s="10" t="inlineStr">
        <is>
          <t>3. Sequences, Functions &amp; Graphs</t>
        </is>
      </c>
      <c r="D43" s="10" t="inlineStr">
        <is>
          <t>Differentiation</t>
        </is>
      </c>
      <c r="E43" s="23">
        <f>COUNTIFS(Assignments!$D$5:$D$124,$B43,Assignments!$E$5:$E$124,$D43)</f>
        <v/>
      </c>
      <c r="F43" s="49">
        <f>IFERROR(AVERAGEIFS(Assignments!$L$5:$L$124,Assignments!$D$5:$D$124,$B43,Assignments!$E$5:$E$124,$D43),"—")</f>
        <v/>
      </c>
      <c r="G43" s="23">
        <f>COUNTIFS(Quizzes!$C$5:$C$124,$B43,Quizzes!$D$5:$D$124,$D43)</f>
        <v/>
      </c>
      <c r="H43" s="49">
        <f>IFERROR(AVERAGEIFS(Quizzes!$J$5:$J$124,Quizzes!$C$5:$C$124,$B43,Quizzes!$D$5:$D$124,$D43),"—")</f>
        <v/>
      </c>
      <c r="I43" s="49">
        <f>IFERROR(IF((E43+G43)=0,"—",(IFERROR(F43*E43,0)+IFERROR(H43*G43,0))/(E43+G43)),"—")</f>
        <v/>
      </c>
      <c r="J43" s="49">
        <f>IFERROR(MAX(IFERROR(MAXIFS(Assignments!$L$5:$L$124,Assignments!$D$5:$D$124,$B43,Assignments!$E$5:$E$124,$D43),0),IFERROR(MAXIFS(Quizzes!$J$5:$J$124,Quizzes!$C$5:$C$124,$B43,Quizzes!$D$5:$D$124,$D43),0)),"—")</f>
        <v/>
      </c>
      <c r="K43" s="49">
        <f>IFERROR(IF((E43+G43)=0,"—",MIN(IF(E43&gt;0,MINIFS(Assignments!$L$5:$L$124,Assignments!$D$5:$D$124,$B43,Assignments!$E$5:$E$124,$D43),9),IF(G43&gt;0,MINIFS(Quizzes!$J$5:$J$124,Quizzes!$C$5:$C$124,$B43,Quizzes!$D$5:$D$124,$D43),9))),"—")</f>
        <v/>
      </c>
      <c r="M43" s="53">
        <f>IF((E43+G43)=0,50,(1-IFERROR(I43,0))*100*MIN(1,(E43+G43)/3))</f>
        <v/>
      </c>
    </row>
    <row r="44">
      <c r="B44" s="51" t="inlineStr">
        <is>
          <t>Unit 1</t>
        </is>
      </c>
      <c r="C44" s="8" t="inlineStr">
        <is>
          <t>4. Geometry &amp; Trigonometry</t>
        </is>
      </c>
      <c r="D44" s="8" t="inlineStr">
        <is>
          <t>Standard &amp; Compound Units</t>
        </is>
      </c>
      <c r="E44" s="17">
        <f>COUNTIFS(Assignments!$D$5:$D$124,$B44,Assignments!$E$5:$E$124,$D44)</f>
        <v/>
      </c>
      <c r="F44" s="48">
        <f>IFERROR(AVERAGEIFS(Assignments!$L$5:$L$124,Assignments!$D$5:$D$124,$B44,Assignments!$E$5:$E$124,$D44),"—")</f>
        <v/>
      </c>
      <c r="G44" s="17">
        <f>COUNTIFS(Quizzes!$C$5:$C$124,$B44,Quizzes!$D$5:$D$124,$D44)</f>
        <v/>
      </c>
      <c r="H44" s="48">
        <f>IFERROR(AVERAGEIFS(Quizzes!$J$5:$J$124,Quizzes!$C$5:$C$124,$B44,Quizzes!$D$5:$D$124,$D44),"—")</f>
        <v/>
      </c>
      <c r="I44" s="48">
        <f>IFERROR(IF((E44+G44)=0,"—",(IFERROR(F44*E44,0)+IFERROR(H44*G44,0))/(E44+G44)),"—")</f>
        <v/>
      </c>
      <c r="J44" s="48">
        <f>IFERROR(MAX(IFERROR(MAXIFS(Assignments!$L$5:$L$124,Assignments!$D$5:$D$124,$B44,Assignments!$E$5:$E$124,$D44),0),IFERROR(MAXIFS(Quizzes!$J$5:$J$124,Quizzes!$C$5:$C$124,$B44,Quizzes!$D$5:$D$124,$D44),0)),"—")</f>
        <v/>
      </c>
      <c r="K44" s="48">
        <f>IFERROR(IF((E44+G44)=0,"—",MIN(IF(E44&gt;0,MINIFS(Assignments!$L$5:$L$124,Assignments!$D$5:$D$124,$B44,Assignments!$E$5:$E$124,$D44),9),IF(G44&gt;0,MINIFS(Quizzes!$J$5:$J$124,Quizzes!$C$5:$C$124,$B44,Quizzes!$D$5:$D$124,$D44),9))),"—")</f>
        <v/>
      </c>
      <c r="M44" s="52">
        <f>IF((E44+G44)=0,50,(1-IFERROR(I44,0))*100*MIN(1,(E44+G44)/3))</f>
        <v/>
      </c>
    </row>
    <row r="45">
      <c r="B45" s="51" t="inlineStr">
        <is>
          <t>Unit 1</t>
        </is>
      </c>
      <c r="C45" s="10" t="inlineStr">
        <is>
          <t>4. Geometry &amp; Trigonometry</t>
        </is>
      </c>
      <c r="D45" s="10" t="inlineStr">
        <is>
          <t>Angles in Polygons &amp; Parallel Lines</t>
        </is>
      </c>
      <c r="E45" s="23">
        <f>COUNTIFS(Assignments!$D$5:$D$124,$B45,Assignments!$E$5:$E$124,$D45)</f>
        <v/>
      </c>
      <c r="F45" s="49">
        <f>IFERROR(AVERAGEIFS(Assignments!$L$5:$L$124,Assignments!$D$5:$D$124,$B45,Assignments!$E$5:$E$124,$D45),"—")</f>
        <v/>
      </c>
      <c r="G45" s="23">
        <f>COUNTIFS(Quizzes!$C$5:$C$124,$B45,Quizzes!$D$5:$D$124,$D45)</f>
        <v/>
      </c>
      <c r="H45" s="49">
        <f>IFERROR(AVERAGEIFS(Quizzes!$J$5:$J$124,Quizzes!$C$5:$C$124,$B45,Quizzes!$D$5:$D$124,$D45),"—")</f>
        <v/>
      </c>
      <c r="I45" s="49">
        <f>IFERROR(IF((E45+G45)=0,"—",(IFERROR(F45*E45,0)+IFERROR(H45*G45,0))/(E45+G45)),"—")</f>
        <v/>
      </c>
      <c r="J45" s="49">
        <f>IFERROR(MAX(IFERROR(MAXIFS(Assignments!$L$5:$L$124,Assignments!$D$5:$D$124,$B45,Assignments!$E$5:$E$124,$D45),0),IFERROR(MAXIFS(Quizzes!$J$5:$J$124,Quizzes!$C$5:$C$124,$B45,Quizzes!$D$5:$D$124,$D45),0)),"—")</f>
        <v/>
      </c>
      <c r="K45" s="49">
        <f>IFERROR(IF((E45+G45)=0,"—",MIN(IF(E45&gt;0,MINIFS(Assignments!$L$5:$L$124,Assignments!$D$5:$D$124,$B45,Assignments!$E$5:$E$124,$D45),9),IF(G45&gt;0,MINIFS(Quizzes!$J$5:$J$124,Quizzes!$C$5:$C$124,$B45,Quizzes!$D$5:$D$124,$D45),9))),"—")</f>
        <v/>
      </c>
      <c r="M45" s="53">
        <f>IF((E45+G45)=0,50,(1-IFERROR(I45,0))*100*MIN(1,(E45+G45)/3))</f>
        <v/>
      </c>
    </row>
    <row r="46">
      <c r="B46" s="51" t="inlineStr">
        <is>
          <t>Unit 1</t>
        </is>
      </c>
      <c r="C46" s="8" t="inlineStr">
        <is>
          <t>4. Geometry &amp; Trigonometry</t>
        </is>
      </c>
      <c r="D46" s="8" t="inlineStr">
        <is>
          <t>Bearings, Scale Drawing &amp; Constructions</t>
        </is>
      </c>
      <c r="E46" s="17">
        <f>COUNTIFS(Assignments!$D$5:$D$124,$B46,Assignments!$E$5:$E$124,$D46)</f>
        <v/>
      </c>
      <c r="F46" s="48">
        <f>IFERROR(AVERAGEIFS(Assignments!$L$5:$L$124,Assignments!$D$5:$D$124,$B46,Assignments!$E$5:$E$124,$D46),"—")</f>
        <v/>
      </c>
      <c r="G46" s="17">
        <f>COUNTIFS(Quizzes!$C$5:$C$124,$B46,Quizzes!$D$5:$D$124,$D46)</f>
        <v/>
      </c>
      <c r="H46" s="48">
        <f>IFERROR(AVERAGEIFS(Quizzes!$J$5:$J$124,Quizzes!$C$5:$C$124,$B46,Quizzes!$D$5:$D$124,$D46),"—")</f>
        <v/>
      </c>
      <c r="I46" s="48">
        <f>IFERROR(IF((E46+G46)=0,"—",(IFERROR(F46*E46,0)+IFERROR(H46*G46,0))/(E46+G46)),"—")</f>
        <v/>
      </c>
      <c r="J46" s="48">
        <f>IFERROR(MAX(IFERROR(MAXIFS(Assignments!$L$5:$L$124,Assignments!$D$5:$D$124,$B46,Assignments!$E$5:$E$124,$D46),0),IFERROR(MAXIFS(Quizzes!$J$5:$J$124,Quizzes!$C$5:$C$124,$B46,Quizzes!$D$5:$D$124,$D46),0)),"—")</f>
        <v/>
      </c>
      <c r="K46" s="48">
        <f>IFERROR(IF((E46+G46)=0,"—",MIN(IF(E46&gt;0,MINIFS(Assignments!$L$5:$L$124,Assignments!$D$5:$D$124,$B46,Assignments!$E$5:$E$124,$D46),9),IF(G46&gt;0,MINIFS(Quizzes!$J$5:$J$124,Quizzes!$C$5:$C$124,$B46,Quizzes!$D$5:$D$124,$D46),9))),"—")</f>
        <v/>
      </c>
      <c r="M46" s="52">
        <f>IF((E46+G46)=0,50,(1-IFERROR(I46,0))*100*MIN(1,(E46+G46)/3))</f>
        <v/>
      </c>
    </row>
    <row r="47">
      <c r="B47" s="51" t="inlineStr">
        <is>
          <t>Unit 1</t>
        </is>
      </c>
      <c r="C47" s="10" t="inlineStr">
        <is>
          <t>4. Geometry &amp; Trigonometry</t>
        </is>
      </c>
      <c r="D47" s="10" t="inlineStr">
        <is>
          <t>Circle Theorems</t>
        </is>
      </c>
      <c r="E47" s="23">
        <f>COUNTIFS(Assignments!$D$5:$D$124,$B47,Assignments!$E$5:$E$124,$D47)</f>
        <v/>
      </c>
      <c r="F47" s="49">
        <f>IFERROR(AVERAGEIFS(Assignments!$L$5:$L$124,Assignments!$D$5:$D$124,$B47,Assignments!$E$5:$E$124,$D47),"—")</f>
        <v/>
      </c>
      <c r="G47" s="23">
        <f>COUNTIFS(Quizzes!$C$5:$C$124,$B47,Quizzes!$D$5:$D$124,$D47)</f>
        <v/>
      </c>
      <c r="H47" s="49">
        <f>IFERROR(AVERAGEIFS(Quizzes!$J$5:$J$124,Quizzes!$C$5:$C$124,$B47,Quizzes!$D$5:$D$124,$D47),"—")</f>
        <v/>
      </c>
      <c r="I47" s="49">
        <f>IFERROR(IF((E47+G47)=0,"—",(IFERROR(F47*E47,0)+IFERROR(H47*G47,0))/(E47+G47)),"—")</f>
        <v/>
      </c>
      <c r="J47" s="49">
        <f>IFERROR(MAX(IFERROR(MAXIFS(Assignments!$L$5:$L$124,Assignments!$D$5:$D$124,$B47,Assignments!$E$5:$E$124,$D47),0),IFERROR(MAXIFS(Quizzes!$J$5:$J$124,Quizzes!$C$5:$C$124,$B47,Quizzes!$D$5:$D$124,$D47),0)),"—")</f>
        <v/>
      </c>
      <c r="K47" s="49">
        <f>IFERROR(IF((E47+G47)=0,"—",MIN(IF(E47&gt;0,MINIFS(Assignments!$L$5:$L$124,Assignments!$D$5:$D$124,$B47,Assignments!$E$5:$E$124,$D47),9),IF(G47&gt;0,MINIFS(Quizzes!$J$5:$J$124,Quizzes!$C$5:$C$124,$B47,Quizzes!$D$5:$D$124,$D47),9))),"—")</f>
        <v/>
      </c>
      <c r="M47" s="53">
        <f>IF((E47+G47)=0,50,(1-IFERROR(I47,0))*100*MIN(1,(E47+G47)/3))</f>
        <v/>
      </c>
    </row>
    <row r="48">
      <c r="B48" s="51" t="inlineStr">
        <is>
          <t>Unit 1</t>
        </is>
      </c>
      <c r="C48" s="8" t="inlineStr">
        <is>
          <t>4. Geometry &amp; Trigonometry</t>
        </is>
      </c>
      <c r="D48" s="8" t="inlineStr">
        <is>
          <t>Area &amp; Perimeter</t>
        </is>
      </c>
      <c r="E48" s="17">
        <f>COUNTIFS(Assignments!$D$5:$D$124,$B48,Assignments!$E$5:$E$124,$D48)</f>
        <v/>
      </c>
      <c r="F48" s="48">
        <f>IFERROR(AVERAGEIFS(Assignments!$L$5:$L$124,Assignments!$D$5:$D$124,$B48,Assignments!$E$5:$E$124,$D48),"—")</f>
        <v/>
      </c>
      <c r="G48" s="17">
        <f>COUNTIFS(Quizzes!$C$5:$C$124,$B48,Quizzes!$D$5:$D$124,$D48)</f>
        <v/>
      </c>
      <c r="H48" s="48">
        <f>IFERROR(AVERAGEIFS(Quizzes!$J$5:$J$124,Quizzes!$C$5:$C$124,$B48,Quizzes!$D$5:$D$124,$D48),"—")</f>
        <v/>
      </c>
      <c r="I48" s="48">
        <f>IFERROR(IF((E48+G48)=0,"—",(IFERROR(F48*E48,0)+IFERROR(H48*G48,0))/(E48+G48)),"—")</f>
        <v/>
      </c>
      <c r="J48" s="48">
        <f>IFERROR(MAX(IFERROR(MAXIFS(Assignments!$L$5:$L$124,Assignments!$D$5:$D$124,$B48,Assignments!$E$5:$E$124,$D48),0),IFERROR(MAXIFS(Quizzes!$J$5:$J$124,Quizzes!$C$5:$C$124,$B48,Quizzes!$D$5:$D$124,$D48),0)),"—")</f>
        <v/>
      </c>
      <c r="K48" s="48">
        <f>IFERROR(IF((E48+G48)=0,"—",MIN(IF(E48&gt;0,MINIFS(Assignments!$L$5:$L$124,Assignments!$D$5:$D$124,$B48,Assignments!$E$5:$E$124,$D48),9),IF(G48&gt;0,MINIFS(Quizzes!$J$5:$J$124,Quizzes!$C$5:$C$124,$B48,Quizzes!$D$5:$D$124,$D48),9))),"—")</f>
        <v/>
      </c>
      <c r="M48" s="52">
        <f>IF((E48+G48)=0,50,(1-IFERROR(I48,0))*100*MIN(1,(E48+G48)/3))</f>
        <v/>
      </c>
    </row>
    <row r="49">
      <c r="B49" s="51" t="inlineStr">
        <is>
          <t>Unit 1</t>
        </is>
      </c>
      <c r="C49" s="10" t="inlineStr">
        <is>
          <t>4. Geometry &amp; Trigonometry</t>
        </is>
      </c>
      <c r="D49" s="10" t="inlineStr">
        <is>
          <t>Circles, Arcs &amp; Sectors</t>
        </is>
      </c>
      <c r="E49" s="23">
        <f>COUNTIFS(Assignments!$D$5:$D$124,$B49,Assignments!$E$5:$E$124,$D49)</f>
        <v/>
      </c>
      <c r="F49" s="49">
        <f>IFERROR(AVERAGEIFS(Assignments!$L$5:$L$124,Assignments!$D$5:$D$124,$B49,Assignments!$E$5:$E$124,$D49),"—")</f>
        <v/>
      </c>
      <c r="G49" s="23">
        <f>COUNTIFS(Quizzes!$C$5:$C$124,$B49,Quizzes!$D$5:$D$124,$D49)</f>
        <v/>
      </c>
      <c r="H49" s="49">
        <f>IFERROR(AVERAGEIFS(Quizzes!$J$5:$J$124,Quizzes!$C$5:$C$124,$B49,Quizzes!$D$5:$D$124,$D49),"—")</f>
        <v/>
      </c>
      <c r="I49" s="49">
        <f>IFERROR(IF((E49+G49)=0,"—",(IFERROR(F49*E49,0)+IFERROR(H49*G49,0))/(E49+G49)),"—")</f>
        <v/>
      </c>
      <c r="J49" s="49">
        <f>IFERROR(MAX(IFERROR(MAXIFS(Assignments!$L$5:$L$124,Assignments!$D$5:$D$124,$B49,Assignments!$E$5:$E$124,$D49),0),IFERROR(MAXIFS(Quizzes!$J$5:$J$124,Quizzes!$C$5:$C$124,$B49,Quizzes!$D$5:$D$124,$D49),0)),"—")</f>
        <v/>
      </c>
      <c r="K49" s="49">
        <f>IFERROR(IF((E49+G49)=0,"—",MIN(IF(E49&gt;0,MINIFS(Assignments!$L$5:$L$124,Assignments!$D$5:$D$124,$B49,Assignments!$E$5:$E$124,$D49),9),IF(G49&gt;0,MINIFS(Quizzes!$J$5:$J$124,Quizzes!$C$5:$C$124,$B49,Quizzes!$D$5:$D$124,$D49),9))),"—")</f>
        <v/>
      </c>
      <c r="M49" s="53">
        <f>IF((E49+G49)=0,50,(1-IFERROR(I49,0))*100*MIN(1,(E49+G49)/3))</f>
        <v/>
      </c>
    </row>
    <row r="50">
      <c r="B50" s="51" t="inlineStr">
        <is>
          <t>Unit 1</t>
        </is>
      </c>
      <c r="C50" s="8" t="inlineStr">
        <is>
          <t>4. Geometry &amp; Trigonometry</t>
        </is>
      </c>
      <c r="D50" s="8" t="inlineStr">
        <is>
          <t>Volume &amp; Surface Area</t>
        </is>
      </c>
      <c r="E50" s="17">
        <f>COUNTIFS(Assignments!$D$5:$D$124,$B50,Assignments!$E$5:$E$124,$D50)</f>
        <v/>
      </c>
      <c r="F50" s="48">
        <f>IFERROR(AVERAGEIFS(Assignments!$L$5:$L$124,Assignments!$D$5:$D$124,$B50,Assignments!$E$5:$E$124,$D50),"—")</f>
        <v/>
      </c>
      <c r="G50" s="17">
        <f>COUNTIFS(Quizzes!$C$5:$C$124,$B50,Quizzes!$D$5:$D$124,$D50)</f>
        <v/>
      </c>
      <c r="H50" s="48">
        <f>IFERROR(AVERAGEIFS(Quizzes!$J$5:$J$124,Quizzes!$C$5:$C$124,$B50,Quizzes!$D$5:$D$124,$D50),"—")</f>
        <v/>
      </c>
      <c r="I50" s="48">
        <f>IFERROR(IF((E50+G50)=0,"—",(IFERROR(F50*E50,0)+IFERROR(H50*G50,0))/(E50+G50)),"—")</f>
        <v/>
      </c>
      <c r="J50" s="48">
        <f>IFERROR(MAX(IFERROR(MAXIFS(Assignments!$L$5:$L$124,Assignments!$D$5:$D$124,$B50,Assignments!$E$5:$E$124,$D50),0),IFERROR(MAXIFS(Quizzes!$J$5:$J$124,Quizzes!$C$5:$C$124,$B50,Quizzes!$D$5:$D$124,$D50),0)),"—")</f>
        <v/>
      </c>
      <c r="K50" s="48">
        <f>IFERROR(IF((E50+G50)=0,"—",MIN(IF(E50&gt;0,MINIFS(Assignments!$L$5:$L$124,Assignments!$D$5:$D$124,$B50,Assignments!$E$5:$E$124,$D50),9),IF(G50&gt;0,MINIFS(Quizzes!$J$5:$J$124,Quizzes!$C$5:$C$124,$B50,Quizzes!$D$5:$D$124,$D50),9))),"—")</f>
        <v/>
      </c>
      <c r="M50" s="52">
        <f>IF((E50+G50)=0,50,(1-IFERROR(I50,0))*100*MIN(1,(E50+G50)/3))</f>
        <v/>
      </c>
    </row>
    <row r="51">
      <c r="B51" s="51" t="inlineStr">
        <is>
          <t>Unit 1</t>
        </is>
      </c>
      <c r="C51" s="10" t="inlineStr">
        <is>
          <t>4. Geometry &amp; Trigonometry</t>
        </is>
      </c>
      <c r="D51" s="10" t="inlineStr">
        <is>
          <t>Congruence, Similarity &amp; Geometrical Proof</t>
        </is>
      </c>
      <c r="E51" s="23">
        <f>COUNTIFS(Assignments!$D$5:$D$124,$B51,Assignments!$E$5:$E$124,$D51)</f>
        <v/>
      </c>
      <c r="F51" s="49">
        <f>IFERROR(AVERAGEIFS(Assignments!$L$5:$L$124,Assignments!$D$5:$D$124,$B51,Assignments!$E$5:$E$124,$D51),"—")</f>
        <v/>
      </c>
      <c r="G51" s="23">
        <f>COUNTIFS(Quizzes!$C$5:$C$124,$B51,Quizzes!$D$5:$D$124,$D51)</f>
        <v/>
      </c>
      <c r="H51" s="49">
        <f>IFERROR(AVERAGEIFS(Quizzes!$J$5:$J$124,Quizzes!$C$5:$C$124,$B51,Quizzes!$D$5:$D$124,$D51),"—")</f>
        <v/>
      </c>
      <c r="I51" s="49">
        <f>IFERROR(IF((E51+G51)=0,"—",(IFERROR(F51*E51,0)+IFERROR(H51*G51,0))/(E51+G51)),"—")</f>
        <v/>
      </c>
      <c r="J51" s="49">
        <f>IFERROR(MAX(IFERROR(MAXIFS(Assignments!$L$5:$L$124,Assignments!$D$5:$D$124,$B51,Assignments!$E$5:$E$124,$D51),0),IFERROR(MAXIFS(Quizzes!$J$5:$J$124,Quizzes!$C$5:$C$124,$B51,Quizzes!$D$5:$D$124,$D51),0)),"—")</f>
        <v/>
      </c>
      <c r="K51" s="49">
        <f>IFERROR(IF((E51+G51)=0,"—",MIN(IF(E51&gt;0,MINIFS(Assignments!$L$5:$L$124,Assignments!$D$5:$D$124,$B51,Assignments!$E$5:$E$124,$D51),9),IF(G51&gt;0,MINIFS(Quizzes!$J$5:$J$124,Quizzes!$C$5:$C$124,$B51,Quizzes!$D$5:$D$124,$D51),9))),"—")</f>
        <v/>
      </c>
      <c r="M51" s="53">
        <f>IF((E51+G51)=0,50,(1-IFERROR(I51,0))*100*MIN(1,(E51+G51)/3))</f>
        <v/>
      </c>
    </row>
    <row r="52">
      <c r="B52" s="51" t="inlineStr">
        <is>
          <t>Unit 1</t>
        </is>
      </c>
      <c r="C52" s="8" t="inlineStr">
        <is>
          <t>4. Geometry &amp; Trigonometry</t>
        </is>
      </c>
      <c r="D52" s="8" t="inlineStr">
        <is>
          <t>Area &amp; Volume of Similar Shapes</t>
        </is>
      </c>
      <c r="E52" s="17">
        <f>COUNTIFS(Assignments!$D$5:$D$124,$B52,Assignments!$E$5:$E$124,$D52)</f>
        <v/>
      </c>
      <c r="F52" s="48">
        <f>IFERROR(AVERAGEIFS(Assignments!$L$5:$L$124,Assignments!$D$5:$D$124,$B52,Assignments!$E$5:$E$124,$D52),"—")</f>
        <v/>
      </c>
      <c r="G52" s="17">
        <f>COUNTIFS(Quizzes!$C$5:$C$124,$B52,Quizzes!$D$5:$D$124,$D52)</f>
        <v/>
      </c>
      <c r="H52" s="48">
        <f>IFERROR(AVERAGEIFS(Quizzes!$J$5:$J$124,Quizzes!$C$5:$C$124,$B52,Quizzes!$D$5:$D$124,$D52),"—")</f>
        <v/>
      </c>
      <c r="I52" s="48">
        <f>IFERROR(IF((E52+G52)=0,"—",(IFERROR(F52*E52,0)+IFERROR(H52*G52,0))/(E52+G52)),"—")</f>
        <v/>
      </c>
      <c r="J52" s="48">
        <f>IFERROR(MAX(IFERROR(MAXIFS(Assignments!$L$5:$L$124,Assignments!$D$5:$D$124,$B52,Assignments!$E$5:$E$124,$D52),0),IFERROR(MAXIFS(Quizzes!$J$5:$J$124,Quizzes!$C$5:$C$124,$B52,Quizzes!$D$5:$D$124,$D52),0)),"—")</f>
        <v/>
      </c>
      <c r="K52" s="48">
        <f>IFERROR(IF((E52+G52)=0,"—",MIN(IF(E52&gt;0,MINIFS(Assignments!$L$5:$L$124,Assignments!$D$5:$D$124,$B52,Assignments!$E$5:$E$124,$D52),9),IF(G52&gt;0,MINIFS(Quizzes!$J$5:$J$124,Quizzes!$C$5:$C$124,$B52,Quizzes!$D$5:$D$124,$D52),9))),"—")</f>
        <v/>
      </c>
      <c r="M52" s="52">
        <f>IF((E52+G52)=0,50,(1-IFERROR(I52,0))*100*MIN(1,(E52+G52)/3))</f>
        <v/>
      </c>
    </row>
    <row r="53">
      <c r="B53" s="51" t="inlineStr">
        <is>
          <t>Unit 1</t>
        </is>
      </c>
      <c r="C53" s="10" t="inlineStr">
        <is>
          <t>4. Geometry &amp; Trigonometry</t>
        </is>
      </c>
      <c r="D53" s="10" t="inlineStr">
        <is>
          <t>Right-Angled Triangles - Pythagoras &amp; Trigonometry</t>
        </is>
      </c>
      <c r="E53" s="23">
        <f>COUNTIFS(Assignments!$D$5:$D$124,$B53,Assignments!$E$5:$E$124,$D53)</f>
        <v/>
      </c>
      <c r="F53" s="49">
        <f>IFERROR(AVERAGEIFS(Assignments!$L$5:$L$124,Assignments!$D$5:$D$124,$B53,Assignments!$E$5:$E$124,$D53),"—")</f>
        <v/>
      </c>
      <c r="G53" s="23">
        <f>COUNTIFS(Quizzes!$C$5:$C$124,$B53,Quizzes!$D$5:$D$124,$D53)</f>
        <v/>
      </c>
      <c r="H53" s="49">
        <f>IFERROR(AVERAGEIFS(Quizzes!$J$5:$J$124,Quizzes!$C$5:$C$124,$B53,Quizzes!$D$5:$D$124,$D53),"—")</f>
        <v/>
      </c>
      <c r="I53" s="49">
        <f>IFERROR(IF((E53+G53)=0,"—",(IFERROR(F53*E53,0)+IFERROR(H53*G53,0))/(E53+G53)),"—")</f>
        <v/>
      </c>
      <c r="J53" s="49">
        <f>IFERROR(MAX(IFERROR(MAXIFS(Assignments!$L$5:$L$124,Assignments!$D$5:$D$124,$B53,Assignments!$E$5:$E$124,$D53),0),IFERROR(MAXIFS(Quizzes!$J$5:$J$124,Quizzes!$C$5:$C$124,$B53,Quizzes!$D$5:$D$124,$D53),0)),"—")</f>
        <v/>
      </c>
      <c r="K53" s="49">
        <f>IFERROR(IF((E53+G53)=0,"—",MIN(IF(E53&gt;0,MINIFS(Assignments!$L$5:$L$124,Assignments!$D$5:$D$124,$B53,Assignments!$E$5:$E$124,$D53),9),IF(G53&gt;0,MINIFS(Quizzes!$J$5:$J$124,Quizzes!$C$5:$C$124,$B53,Quizzes!$D$5:$D$124,$D53),9))),"—")</f>
        <v/>
      </c>
      <c r="M53" s="53">
        <f>IF((E53+G53)=0,50,(1-IFERROR(I53,0))*100*MIN(1,(E53+G53)/3))</f>
        <v/>
      </c>
    </row>
    <row r="54">
      <c r="B54" s="51" t="inlineStr">
        <is>
          <t>Unit 1</t>
        </is>
      </c>
      <c r="C54" s="8" t="inlineStr">
        <is>
          <t>4. Geometry &amp; Trigonometry</t>
        </is>
      </c>
      <c r="D54" s="8" t="inlineStr">
        <is>
          <t>Sine, Cosine Rule &amp; Area of Triangles</t>
        </is>
      </c>
      <c r="E54" s="17">
        <f>COUNTIFS(Assignments!$D$5:$D$124,$B54,Assignments!$E$5:$E$124,$D54)</f>
        <v/>
      </c>
      <c r="F54" s="48">
        <f>IFERROR(AVERAGEIFS(Assignments!$L$5:$L$124,Assignments!$D$5:$D$124,$B54,Assignments!$E$5:$E$124,$D54),"—")</f>
        <v/>
      </c>
      <c r="G54" s="17">
        <f>COUNTIFS(Quizzes!$C$5:$C$124,$B54,Quizzes!$D$5:$D$124,$D54)</f>
        <v/>
      </c>
      <c r="H54" s="48">
        <f>IFERROR(AVERAGEIFS(Quizzes!$J$5:$J$124,Quizzes!$C$5:$C$124,$B54,Quizzes!$D$5:$D$124,$D54),"—")</f>
        <v/>
      </c>
      <c r="I54" s="48">
        <f>IFERROR(IF((E54+G54)=0,"—",(IFERROR(F54*E54,0)+IFERROR(H54*G54,0))/(E54+G54)),"—")</f>
        <v/>
      </c>
      <c r="J54" s="48">
        <f>IFERROR(MAX(IFERROR(MAXIFS(Assignments!$L$5:$L$124,Assignments!$D$5:$D$124,$B54,Assignments!$E$5:$E$124,$D54),0),IFERROR(MAXIFS(Quizzes!$J$5:$J$124,Quizzes!$C$5:$C$124,$B54,Quizzes!$D$5:$D$124,$D54),0)),"—")</f>
        <v/>
      </c>
      <c r="K54" s="48">
        <f>IFERROR(IF((E54+G54)=0,"—",MIN(IF(E54&gt;0,MINIFS(Assignments!$L$5:$L$124,Assignments!$D$5:$D$124,$B54,Assignments!$E$5:$E$124,$D54),9),IF(G54&gt;0,MINIFS(Quizzes!$J$5:$J$124,Quizzes!$C$5:$C$124,$B54,Quizzes!$D$5:$D$124,$D54),9))),"—")</f>
        <v/>
      </c>
      <c r="M54" s="52">
        <f>IF((E54+G54)=0,50,(1-IFERROR(I54,0))*100*MIN(1,(E54+G54)/3))</f>
        <v/>
      </c>
    </row>
    <row r="55">
      <c r="B55" s="51" t="inlineStr">
        <is>
          <t>Unit 1</t>
        </is>
      </c>
      <c r="C55" s="10" t="inlineStr">
        <is>
          <t>4. Geometry &amp; Trigonometry</t>
        </is>
      </c>
      <c r="D55" s="10" t="inlineStr">
        <is>
          <t>3D Pythagoras &amp; Trigonometry</t>
        </is>
      </c>
      <c r="E55" s="23">
        <f>COUNTIFS(Assignments!$D$5:$D$124,$B55,Assignments!$E$5:$E$124,$D55)</f>
        <v/>
      </c>
      <c r="F55" s="49">
        <f>IFERROR(AVERAGEIFS(Assignments!$L$5:$L$124,Assignments!$D$5:$D$124,$B55,Assignments!$E$5:$E$124,$D55),"—")</f>
        <v/>
      </c>
      <c r="G55" s="23">
        <f>COUNTIFS(Quizzes!$C$5:$C$124,$B55,Quizzes!$D$5:$D$124,$D55)</f>
        <v/>
      </c>
      <c r="H55" s="49">
        <f>IFERROR(AVERAGEIFS(Quizzes!$J$5:$J$124,Quizzes!$C$5:$C$124,$B55,Quizzes!$D$5:$D$124,$D55),"—")</f>
        <v/>
      </c>
      <c r="I55" s="49">
        <f>IFERROR(IF((E55+G55)=0,"—",(IFERROR(F55*E55,0)+IFERROR(H55*G55,0))/(E55+G55)),"—")</f>
        <v/>
      </c>
      <c r="J55" s="49">
        <f>IFERROR(MAX(IFERROR(MAXIFS(Assignments!$L$5:$L$124,Assignments!$D$5:$D$124,$B55,Assignments!$E$5:$E$124,$D55),0),IFERROR(MAXIFS(Quizzes!$J$5:$J$124,Quizzes!$C$5:$C$124,$B55,Quizzes!$D$5:$D$124,$D55),0)),"—")</f>
        <v/>
      </c>
      <c r="K55" s="49">
        <f>IFERROR(IF((E55+G55)=0,"—",MIN(IF(E55&gt;0,MINIFS(Assignments!$L$5:$L$124,Assignments!$D$5:$D$124,$B55,Assignments!$E$5:$E$124,$D55),9),IF(G55&gt;0,MINIFS(Quizzes!$J$5:$J$124,Quizzes!$C$5:$C$124,$B55,Quizzes!$D$5:$D$124,$D55),9))),"—")</f>
        <v/>
      </c>
      <c r="M55" s="53">
        <f>IF((E55+G55)=0,50,(1-IFERROR(I55,0))*100*MIN(1,(E55+G55)/3))</f>
        <v/>
      </c>
    </row>
    <row r="56">
      <c r="B56" s="51" t="inlineStr">
        <is>
          <t>Unit 1</t>
        </is>
      </c>
      <c r="C56" s="8" t="inlineStr">
        <is>
          <t>5. Vectors &amp; Transformation Geometry</t>
        </is>
      </c>
      <c r="D56" s="8" t="inlineStr">
        <is>
          <t>Vectors</t>
        </is>
      </c>
      <c r="E56" s="17">
        <f>COUNTIFS(Assignments!$D$5:$D$124,$B56,Assignments!$E$5:$E$124,$D56)</f>
        <v/>
      </c>
      <c r="F56" s="48">
        <f>IFERROR(AVERAGEIFS(Assignments!$L$5:$L$124,Assignments!$D$5:$D$124,$B56,Assignments!$E$5:$E$124,$D56),"—")</f>
        <v/>
      </c>
      <c r="G56" s="17">
        <f>COUNTIFS(Quizzes!$C$5:$C$124,$B56,Quizzes!$D$5:$D$124,$D56)</f>
        <v/>
      </c>
      <c r="H56" s="48">
        <f>IFERROR(AVERAGEIFS(Quizzes!$J$5:$J$124,Quizzes!$C$5:$C$124,$B56,Quizzes!$D$5:$D$124,$D56),"—")</f>
        <v/>
      </c>
      <c r="I56" s="48">
        <f>IFERROR(IF((E56+G56)=0,"—",(IFERROR(F56*E56,0)+IFERROR(H56*G56,0))/(E56+G56)),"—")</f>
        <v/>
      </c>
      <c r="J56" s="48">
        <f>IFERROR(MAX(IFERROR(MAXIFS(Assignments!$L$5:$L$124,Assignments!$D$5:$D$124,$B56,Assignments!$E$5:$E$124,$D56),0),IFERROR(MAXIFS(Quizzes!$J$5:$J$124,Quizzes!$C$5:$C$124,$B56,Quizzes!$D$5:$D$124,$D56),0)),"—")</f>
        <v/>
      </c>
      <c r="K56" s="48">
        <f>IFERROR(IF((E56+G56)=0,"—",MIN(IF(E56&gt;0,MINIFS(Assignments!$L$5:$L$124,Assignments!$D$5:$D$124,$B56,Assignments!$E$5:$E$124,$D56),9),IF(G56&gt;0,MINIFS(Quizzes!$J$5:$J$124,Quizzes!$C$5:$C$124,$B56,Quizzes!$D$5:$D$124,$D56),9))),"—")</f>
        <v/>
      </c>
      <c r="M56" s="52">
        <f>IF((E56+G56)=0,50,(1-IFERROR(I56,0))*100*MIN(1,(E56+G56)/3))</f>
        <v/>
      </c>
    </row>
    <row r="57">
      <c r="B57" s="51" t="inlineStr">
        <is>
          <t>Unit 1</t>
        </is>
      </c>
      <c r="C57" s="10" t="inlineStr">
        <is>
          <t>5. Vectors &amp; Transformation Geometry</t>
        </is>
      </c>
      <c r="D57" s="10" t="inlineStr">
        <is>
          <t>Transformations</t>
        </is>
      </c>
      <c r="E57" s="23">
        <f>COUNTIFS(Assignments!$D$5:$D$124,$B57,Assignments!$E$5:$E$124,$D57)</f>
        <v/>
      </c>
      <c r="F57" s="49">
        <f>IFERROR(AVERAGEIFS(Assignments!$L$5:$L$124,Assignments!$D$5:$D$124,$B57,Assignments!$E$5:$E$124,$D57),"—")</f>
        <v/>
      </c>
      <c r="G57" s="23">
        <f>COUNTIFS(Quizzes!$C$5:$C$124,$B57,Quizzes!$D$5:$D$124,$D57)</f>
        <v/>
      </c>
      <c r="H57" s="49">
        <f>IFERROR(AVERAGEIFS(Quizzes!$J$5:$J$124,Quizzes!$C$5:$C$124,$B57,Quizzes!$D$5:$D$124,$D57),"—")</f>
        <v/>
      </c>
      <c r="I57" s="49">
        <f>IFERROR(IF((E57+G57)=0,"—",(IFERROR(F57*E57,0)+IFERROR(H57*G57,0))/(E57+G57)),"—")</f>
        <v/>
      </c>
      <c r="J57" s="49">
        <f>IFERROR(MAX(IFERROR(MAXIFS(Assignments!$L$5:$L$124,Assignments!$D$5:$D$124,$B57,Assignments!$E$5:$E$124,$D57),0),IFERROR(MAXIFS(Quizzes!$J$5:$J$124,Quizzes!$C$5:$C$124,$B57,Quizzes!$D$5:$D$124,$D57),0)),"—")</f>
        <v/>
      </c>
      <c r="K57" s="49">
        <f>IFERROR(IF((E57+G57)=0,"—",MIN(IF(E57&gt;0,MINIFS(Assignments!$L$5:$L$124,Assignments!$D$5:$D$124,$B57,Assignments!$E$5:$E$124,$D57),9),IF(G57&gt;0,MINIFS(Quizzes!$J$5:$J$124,Quizzes!$C$5:$C$124,$B57,Quizzes!$D$5:$D$124,$D57),9))),"—")</f>
        <v/>
      </c>
      <c r="M57" s="53">
        <f>IF((E57+G57)=0,50,(1-IFERROR(I57,0))*100*MIN(1,(E57+G57)/3))</f>
        <v/>
      </c>
    </row>
    <row r="58">
      <c r="B58" s="51" t="inlineStr">
        <is>
          <t>Unit 1</t>
        </is>
      </c>
      <c r="C58" s="8" t="inlineStr">
        <is>
          <t>6. Statistics &amp; Probability</t>
        </is>
      </c>
      <c r="D58" s="8" t="inlineStr">
        <is>
          <t>Statistics Toolkit</t>
        </is>
      </c>
      <c r="E58" s="17">
        <f>COUNTIFS(Assignments!$D$5:$D$124,$B58,Assignments!$E$5:$E$124,$D58)</f>
        <v/>
      </c>
      <c r="F58" s="48">
        <f>IFERROR(AVERAGEIFS(Assignments!$L$5:$L$124,Assignments!$D$5:$D$124,$B58,Assignments!$E$5:$E$124,$D58),"—")</f>
        <v/>
      </c>
      <c r="G58" s="17">
        <f>COUNTIFS(Quizzes!$C$5:$C$124,$B58,Quizzes!$D$5:$D$124,$D58)</f>
        <v/>
      </c>
      <c r="H58" s="48">
        <f>IFERROR(AVERAGEIFS(Quizzes!$J$5:$J$124,Quizzes!$C$5:$C$124,$B58,Quizzes!$D$5:$D$124,$D58),"—")</f>
        <v/>
      </c>
      <c r="I58" s="48">
        <f>IFERROR(IF((E58+G58)=0,"—",(IFERROR(F58*E58,0)+IFERROR(H58*G58,0))/(E58+G58)),"—")</f>
        <v/>
      </c>
      <c r="J58" s="48">
        <f>IFERROR(MAX(IFERROR(MAXIFS(Assignments!$L$5:$L$124,Assignments!$D$5:$D$124,$B58,Assignments!$E$5:$E$124,$D58),0),IFERROR(MAXIFS(Quizzes!$J$5:$J$124,Quizzes!$C$5:$C$124,$B58,Quizzes!$D$5:$D$124,$D58),0)),"—")</f>
        <v/>
      </c>
      <c r="K58" s="48">
        <f>IFERROR(IF((E58+G58)=0,"—",MIN(IF(E58&gt;0,MINIFS(Assignments!$L$5:$L$124,Assignments!$D$5:$D$124,$B58,Assignments!$E$5:$E$124,$D58),9),IF(G58&gt;0,MINIFS(Quizzes!$J$5:$J$124,Quizzes!$C$5:$C$124,$B58,Quizzes!$D$5:$D$124,$D58),9))),"—")</f>
        <v/>
      </c>
      <c r="M58" s="52">
        <f>IF((E58+G58)=0,50,(1-IFERROR(I58,0))*100*MIN(1,(E58+G58)/3))</f>
        <v/>
      </c>
    </row>
    <row r="59">
      <c r="B59" s="51" t="inlineStr">
        <is>
          <t>Unit 1</t>
        </is>
      </c>
      <c r="C59" s="10" t="inlineStr">
        <is>
          <t>6. Statistics &amp; Probability</t>
        </is>
      </c>
      <c r="D59" s="10" t="inlineStr">
        <is>
          <t>Histograms</t>
        </is>
      </c>
      <c r="E59" s="23">
        <f>COUNTIFS(Assignments!$D$5:$D$124,$B59,Assignments!$E$5:$E$124,$D59)</f>
        <v/>
      </c>
      <c r="F59" s="49">
        <f>IFERROR(AVERAGEIFS(Assignments!$L$5:$L$124,Assignments!$D$5:$D$124,$B59,Assignments!$E$5:$E$124,$D59),"—")</f>
        <v/>
      </c>
      <c r="G59" s="23">
        <f>COUNTIFS(Quizzes!$C$5:$C$124,$B59,Quizzes!$D$5:$D$124,$D59)</f>
        <v/>
      </c>
      <c r="H59" s="49">
        <f>IFERROR(AVERAGEIFS(Quizzes!$J$5:$J$124,Quizzes!$C$5:$C$124,$B59,Quizzes!$D$5:$D$124,$D59),"—")</f>
        <v/>
      </c>
      <c r="I59" s="49">
        <f>IFERROR(IF((E59+G59)=0,"—",(IFERROR(F59*E59,0)+IFERROR(H59*G59,0))/(E59+G59)),"—")</f>
        <v/>
      </c>
      <c r="J59" s="49">
        <f>IFERROR(MAX(IFERROR(MAXIFS(Assignments!$L$5:$L$124,Assignments!$D$5:$D$124,$B59,Assignments!$E$5:$E$124,$D59),0),IFERROR(MAXIFS(Quizzes!$J$5:$J$124,Quizzes!$C$5:$C$124,$B59,Quizzes!$D$5:$D$124,$D59),0)),"—")</f>
        <v/>
      </c>
      <c r="K59" s="49">
        <f>IFERROR(IF((E59+G59)=0,"—",MIN(IF(E59&gt;0,MINIFS(Assignments!$L$5:$L$124,Assignments!$D$5:$D$124,$B59,Assignments!$E$5:$E$124,$D59),9),IF(G59&gt;0,MINIFS(Quizzes!$J$5:$J$124,Quizzes!$C$5:$C$124,$B59,Quizzes!$D$5:$D$124,$D59),9))),"—")</f>
        <v/>
      </c>
      <c r="M59" s="53">
        <f>IF((E59+G59)=0,50,(1-IFERROR(I59,0))*100*MIN(1,(E59+G59)/3))</f>
        <v/>
      </c>
    </row>
    <row r="60">
      <c r="B60" s="51" t="inlineStr">
        <is>
          <t>Unit 1</t>
        </is>
      </c>
      <c r="C60" s="8" t="inlineStr">
        <is>
          <t>6. Statistics &amp; Probability</t>
        </is>
      </c>
      <c r="D60" s="8" t="inlineStr">
        <is>
          <t>Cumulative Frequency Diagrams</t>
        </is>
      </c>
      <c r="E60" s="17">
        <f>COUNTIFS(Assignments!$D$5:$D$124,$B60,Assignments!$E$5:$E$124,$D60)</f>
        <v/>
      </c>
      <c r="F60" s="48">
        <f>IFERROR(AVERAGEIFS(Assignments!$L$5:$L$124,Assignments!$D$5:$D$124,$B60,Assignments!$E$5:$E$124,$D60),"—")</f>
        <v/>
      </c>
      <c r="G60" s="17">
        <f>COUNTIFS(Quizzes!$C$5:$C$124,$B60,Quizzes!$D$5:$D$124,$D60)</f>
        <v/>
      </c>
      <c r="H60" s="48">
        <f>IFERROR(AVERAGEIFS(Quizzes!$J$5:$J$124,Quizzes!$C$5:$C$124,$B60,Quizzes!$D$5:$D$124,$D60),"—")</f>
        <v/>
      </c>
      <c r="I60" s="48">
        <f>IFERROR(IF((E60+G60)=0,"—",(IFERROR(F60*E60,0)+IFERROR(H60*G60,0))/(E60+G60)),"—")</f>
        <v/>
      </c>
      <c r="J60" s="48">
        <f>IFERROR(MAX(IFERROR(MAXIFS(Assignments!$L$5:$L$124,Assignments!$D$5:$D$124,$B60,Assignments!$E$5:$E$124,$D60),0),IFERROR(MAXIFS(Quizzes!$J$5:$J$124,Quizzes!$C$5:$C$124,$B60,Quizzes!$D$5:$D$124,$D60),0)),"—")</f>
        <v/>
      </c>
      <c r="K60" s="48">
        <f>IFERROR(IF((E60+G60)=0,"—",MIN(IF(E60&gt;0,MINIFS(Assignments!$L$5:$L$124,Assignments!$D$5:$D$124,$B60,Assignments!$E$5:$E$124,$D60),9),IF(G60&gt;0,MINIFS(Quizzes!$J$5:$J$124,Quizzes!$C$5:$C$124,$B60,Quizzes!$D$5:$D$124,$D60),9))),"—")</f>
        <v/>
      </c>
      <c r="M60" s="52">
        <f>IF((E60+G60)=0,50,(1-IFERROR(I60,0))*100*MIN(1,(E60+G60)/3))</f>
        <v/>
      </c>
    </row>
    <row r="61">
      <c r="B61" s="51" t="inlineStr">
        <is>
          <t>Unit 1</t>
        </is>
      </c>
      <c r="C61" s="10" t="inlineStr">
        <is>
          <t>6. Statistics &amp; Probability</t>
        </is>
      </c>
      <c r="D61" s="10" t="inlineStr">
        <is>
          <t>Probability Toolkit</t>
        </is>
      </c>
      <c r="E61" s="23">
        <f>COUNTIFS(Assignments!$D$5:$D$124,$B61,Assignments!$E$5:$E$124,$D61)</f>
        <v/>
      </c>
      <c r="F61" s="49">
        <f>IFERROR(AVERAGEIFS(Assignments!$L$5:$L$124,Assignments!$D$5:$D$124,$B61,Assignments!$E$5:$E$124,$D61),"—")</f>
        <v/>
      </c>
      <c r="G61" s="23">
        <f>COUNTIFS(Quizzes!$C$5:$C$124,$B61,Quizzes!$D$5:$D$124,$D61)</f>
        <v/>
      </c>
      <c r="H61" s="49">
        <f>IFERROR(AVERAGEIFS(Quizzes!$J$5:$J$124,Quizzes!$C$5:$C$124,$B61,Quizzes!$D$5:$D$124,$D61),"—")</f>
        <v/>
      </c>
      <c r="I61" s="49">
        <f>IFERROR(IF((E61+G61)=0,"—",(IFERROR(F61*E61,0)+IFERROR(H61*G61,0))/(E61+G61)),"—")</f>
        <v/>
      </c>
      <c r="J61" s="49">
        <f>IFERROR(MAX(IFERROR(MAXIFS(Assignments!$L$5:$L$124,Assignments!$D$5:$D$124,$B61,Assignments!$E$5:$E$124,$D61),0),IFERROR(MAXIFS(Quizzes!$J$5:$J$124,Quizzes!$C$5:$C$124,$B61,Quizzes!$D$5:$D$124,$D61),0)),"—")</f>
        <v/>
      </c>
      <c r="K61" s="49">
        <f>IFERROR(IF((E61+G61)=0,"—",MIN(IF(E61&gt;0,MINIFS(Assignments!$L$5:$L$124,Assignments!$D$5:$D$124,$B61,Assignments!$E$5:$E$124,$D61),9),IF(G61&gt;0,MINIFS(Quizzes!$J$5:$J$124,Quizzes!$C$5:$C$124,$B61,Quizzes!$D$5:$D$124,$D61),9))),"—")</f>
        <v/>
      </c>
      <c r="M61" s="53">
        <f>IF((E61+G61)=0,50,(1-IFERROR(I61,0))*100*MIN(1,(E61+G61)/3))</f>
        <v/>
      </c>
    </row>
    <row r="62">
      <c r="B62" s="51" t="inlineStr">
        <is>
          <t>Unit 1</t>
        </is>
      </c>
      <c r="C62" s="8" t="inlineStr">
        <is>
          <t>6. Statistics &amp; Probability</t>
        </is>
      </c>
      <c r="D62" s="8" t="inlineStr">
        <is>
          <t>Probability Diagrams - Venn &amp; Tree Diagrams</t>
        </is>
      </c>
      <c r="E62" s="17">
        <f>COUNTIFS(Assignments!$D$5:$D$124,$B62,Assignments!$E$5:$E$124,$D62)</f>
        <v/>
      </c>
      <c r="F62" s="48">
        <f>IFERROR(AVERAGEIFS(Assignments!$L$5:$L$124,Assignments!$D$5:$D$124,$B62,Assignments!$E$5:$E$124,$D62),"—")</f>
        <v/>
      </c>
      <c r="G62" s="17">
        <f>COUNTIFS(Quizzes!$C$5:$C$124,$B62,Quizzes!$D$5:$D$124,$D62)</f>
        <v/>
      </c>
      <c r="H62" s="48">
        <f>IFERROR(AVERAGEIFS(Quizzes!$J$5:$J$124,Quizzes!$C$5:$C$124,$B62,Quizzes!$D$5:$D$124,$D62),"—")</f>
        <v/>
      </c>
      <c r="I62" s="48">
        <f>IFERROR(IF((E62+G62)=0,"—",(IFERROR(F62*E62,0)+IFERROR(H62*G62,0))/(E62+G62)),"—")</f>
        <v/>
      </c>
      <c r="J62" s="48">
        <f>IFERROR(MAX(IFERROR(MAXIFS(Assignments!$L$5:$L$124,Assignments!$D$5:$D$124,$B62,Assignments!$E$5:$E$124,$D62),0),IFERROR(MAXIFS(Quizzes!$J$5:$J$124,Quizzes!$C$5:$C$124,$B62,Quizzes!$D$5:$D$124,$D62),0)),"—")</f>
        <v/>
      </c>
      <c r="K62" s="48">
        <f>IFERROR(IF((E62+G62)=0,"—",MIN(IF(E62&gt;0,MINIFS(Assignments!$L$5:$L$124,Assignments!$D$5:$D$124,$B62,Assignments!$E$5:$E$124,$D62),9),IF(G62&gt;0,MINIFS(Quizzes!$J$5:$J$124,Quizzes!$C$5:$C$124,$B62,Quizzes!$D$5:$D$124,$D62),9))),"—")</f>
        <v/>
      </c>
      <c r="M62" s="52">
        <f>IF((E62+G62)=0,50,(1-IFERROR(I62,0))*100*MIN(1,(E62+G62)/3))</f>
        <v/>
      </c>
    </row>
    <row r="63">
      <c r="B63" s="51" t="inlineStr">
        <is>
          <t>Unit 1</t>
        </is>
      </c>
      <c r="C63" s="10" t="inlineStr">
        <is>
          <t>6. Statistics &amp; Probability</t>
        </is>
      </c>
      <c r="D63" s="10" t="inlineStr">
        <is>
          <t>Combined &amp; Conditional Probability</t>
        </is>
      </c>
      <c r="E63" s="23">
        <f>COUNTIFS(Assignments!$D$5:$D$124,$B63,Assignments!$E$5:$E$124,$D63)</f>
        <v/>
      </c>
      <c r="F63" s="49">
        <f>IFERROR(AVERAGEIFS(Assignments!$L$5:$L$124,Assignments!$D$5:$D$124,$B63,Assignments!$E$5:$E$124,$D63),"—")</f>
        <v/>
      </c>
      <c r="G63" s="23">
        <f>COUNTIFS(Quizzes!$C$5:$C$124,$B63,Quizzes!$D$5:$D$124,$D63)</f>
        <v/>
      </c>
      <c r="H63" s="49">
        <f>IFERROR(AVERAGEIFS(Quizzes!$J$5:$J$124,Quizzes!$C$5:$C$124,$B63,Quizzes!$D$5:$D$124,$D63),"—")</f>
        <v/>
      </c>
      <c r="I63" s="49">
        <f>IFERROR(IF((E63+G63)=0,"—",(IFERROR(F63*E63,0)+IFERROR(H63*G63,0))/(E63+G63)),"—")</f>
        <v/>
      </c>
      <c r="J63" s="49">
        <f>IFERROR(MAX(IFERROR(MAXIFS(Assignments!$L$5:$L$124,Assignments!$D$5:$D$124,$B63,Assignments!$E$5:$E$124,$D63),0),IFERROR(MAXIFS(Quizzes!$J$5:$J$124,Quizzes!$C$5:$C$124,$B63,Quizzes!$D$5:$D$124,$D63),0)),"—")</f>
        <v/>
      </c>
      <c r="K63" s="49">
        <f>IFERROR(IF((E63+G63)=0,"—",MIN(IF(E63&gt;0,MINIFS(Assignments!$L$5:$L$124,Assignments!$D$5:$D$124,$B63,Assignments!$E$5:$E$124,$D63),9),IF(G63&gt;0,MINIFS(Quizzes!$J$5:$J$124,Quizzes!$C$5:$C$124,$B63,Quizzes!$D$5:$D$124,$D63),9))),"—")</f>
        <v/>
      </c>
      <c r="M63" s="53">
        <f>IF((E63+G63)=0,50,(1-IFERROR(I63,0))*100*MIN(1,(E63+G63)/3))</f>
        <v/>
      </c>
    </row>
    <row r="64">
      <c r="B64" s="54" t="inlineStr">
        <is>
          <t>Unit 2</t>
        </is>
      </c>
      <c r="C64" s="8" t="inlineStr">
        <is>
          <t>1. Numbers and the Number System</t>
        </is>
      </c>
      <c r="D64" s="8" t="inlineStr">
        <is>
          <t>Prime Factors, HCF &amp; LCM (Foundation)</t>
        </is>
      </c>
      <c r="E64" s="17">
        <f>COUNTIFS(Assignments!$D$5:$D$124,$B64,Assignments!$E$5:$E$124,$D64)</f>
        <v/>
      </c>
      <c r="F64" s="48">
        <f>IFERROR(AVERAGEIFS(Assignments!$L$5:$L$124,Assignments!$D$5:$D$124,$B64,Assignments!$E$5:$E$124,$D64),"—")</f>
        <v/>
      </c>
      <c r="G64" s="17">
        <f>COUNTIFS(Quizzes!$C$5:$C$124,$B64,Quizzes!$D$5:$D$124,$D64)</f>
        <v/>
      </c>
      <c r="H64" s="48">
        <f>IFERROR(AVERAGEIFS(Quizzes!$J$5:$J$124,Quizzes!$C$5:$C$124,$B64,Quizzes!$D$5:$D$124,$D64),"—")</f>
        <v/>
      </c>
      <c r="I64" s="48">
        <f>IFERROR(IF((E64+G64)=0,"—",(IFERROR(F64*E64,0)+IFERROR(H64*G64,0))/(E64+G64)),"—")</f>
        <v/>
      </c>
      <c r="J64" s="48">
        <f>IFERROR(MAX(IFERROR(MAXIFS(Assignments!$L$5:$L$124,Assignments!$D$5:$D$124,$B64,Assignments!$E$5:$E$124,$D64),0),IFERROR(MAXIFS(Quizzes!$J$5:$J$124,Quizzes!$C$5:$C$124,$B64,Quizzes!$D$5:$D$124,$D64),0)),"—")</f>
        <v/>
      </c>
      <c r="K64" s="48">
        <f>IFERROR(IF((E64+G64)=0,"—",MIN(IF(E64&gt;0,MINIFS(Assignments!$L$5:$L$124,Assignments!$D$5:$D$124,$B64,Assignments!$E$5:$E$124,$D64),9),IF(G64&gt;0,MINIFS(Quizzes!$J$5:$J$124,Quizzes!$C$5:$C$124,$B64,Quizzes!$D$5:$D$124,$D64),9))),"—")</f>
        <v/>
      </c>
      <c r="M64" s="52">
        <f>IF((E64+G64)=0,50,(1-IFERROR(I64,0))*100*MIN(1,(E64+G64)/3))</f>
        <v/>
      </c>
    </row>
    <row r="65">
      <c r="B65" s="54" t="inlineStr">
        <is>
          <t>Unit 2</t>
        </is>
      </c>
      <c r="C65" s="10" t="inlineStr">
        <is>
          <t>1. Numbers and the Number System</t>
        </is>
      </c>
      <c r="D65" s="10" t="inlineStr">
        <is>
          <t>Standard Form (Foundation / Higher)</t>
        </is>
      </c>
      <c r="E65" s="23">
        <f>COUNTIFS(Assignments!$D$5:$D$124,$B65,Assignments!$E$5:$E$124,$D65)</f>
        <v/>
      </c>
      <c r="F65" s="49">
        <f>IFERROR(AVERAGEIFS(Assignments!$L$5:$L$124,Assignments!$D$5:$D$124,$B65,Assignments!$E$5:$E$124,$D65),"—")</f>
        <v/>
      </c>
      <c r="G65" s="23">
        <f>COUNTIFS(Quizzes!$C$5:$C$124,$B65,Quizzes!$D$5:$D$124,$D65)</f>
        <v/>
      </c>
      <c r="H65" s="49">
        <f>IFERROR(AVERAGEIFS(Quizzes!$J$5:$J$124,Quizzes!$C$5:$C$124,$B65,Quizzes!$D$5:$D$124,$D65),"—")</f>
        <v/>
      </c>
      <c r="I65" s="49">
        <f>IFERROR(IF((E65+G65)=0,"—",(IFERROR(F65*E65,0)+IFERROR(H65*G65,0))/(E65+G65)),"—")</f>
        <v/>
      </c>
      <c r="J65" s="49">
        <f>IFERROR(MAX(IFERROR(MAXIFS(Assignments!$L$5:$L$124,Assignments!$D$5:$D$124,$B65,Assignments!$E$5:$E$124,$D65),0),IFERROR(MAXIFS(Quizzes!$J$5:$J$124,Quizzes!$C$5:$C$124,$B65,Quizzes!$D$5:$D$124,$D65),0)),"—")</f>
        <v/>
      </c>
      <c r="K65" s="49">
        <f>IFERROR(IF((E65+G65)=0,"—",MIN(IF(E65&gt;0,MINIFS(Assignments!$L$5:$L$124,Assignments!$D$5:$D$124,$B65,Assignments!$E$5:$E$124,$D65),9),IF(G65&gt;0,MINIFS(Quizzes!$J$5:$J$124,Quizzes!$C$5:$C$124,$B65,Quizzes!$D$5:$D$124,$D65),9))),"—")</f>
        <v/>
      </c>
      <c r="M65" s="53">
        <f>IF((E65+G65)=0,50,(1-IFERROR(I65,0))*100*MIN(1,(E65+G65)/3))</f>
        <v/>
      </c>
    </row>
    <row r="66">
      <c r="B66" s="54" t="inlineStr">
        <is>
          <t>Unit 2</t>
        </is>
      </c>
      <c r="C66" s="8" t="inlineStr">
        <is>
          <t>1. Numbers and the Number System</t>
        </is>
      </c>
      <c r="D66" s="8" t="inlineStr">
        <is>
          <t>Compound Interest &amp; Depreciation (Foundation)</t>
        </is>
      </c>
      <c r="E66" s="17">
        <f>COUNTIFS(Assignments!$D$5:$D$124,$B66,Assignments!$E$5:$E$124,$D66)</f>
        <v/>
      </c>
      <c r="F66" s="48">
        <f>IFERROR(AVERAGEIFS(Assignments!$L$5:$L$124,Assignments!$D$5:$D$124,$B66,Assignments!$E$5:$E$124,$D66),"—")</f>
        <v/>
      </c>
      <c r="G66" s="17">
        <f>COUNTIFS(Quizzes!$C$5:$C$124,$B66,Quizzes!$D$5:$D$124,$D66)</f>
        <v/>
      </c>
      <c r="H66" s="48">
        <f>IFERROR(AVERAGEIFS(Quizzes!$J$5:$J$124,Quizzes!$C$5:$C$124,$B66,Quizzes!$D$5:$D$124,$D66),"—")</f>
        <v/>
      </c>
      <c r="I66" s="48">
        <f>IFERROR(IF((E66+G66)=0,"—",(IFERROR(F66*E66,0)+IFERROR(H66*G66,0))/(E66+G66)),"—")</f>
        <v/>
      </c>
      <c r="J66" s="48">
        <f>IFERROR(MAX(IFERROR(MAXIFS(Assignments!$L$5:$L$124,Assignments!$D$5:$D$124,$B66,Assignments!$E$5:$E$124,$D66),0),IFERROR(MAXIFS(Quizzes!$J$5:$J$124,Quizzes!$C$5:$C$124,$B66,Quizzes!$D$5:$D$124,$D66),0)),"—")</f>
        <v/>
      </c>
      <c r="K66" s="48">
        <f>IFERROR(IF((E66+G66)=0,"—",MIN(IF(E66&gt;0,MINIFS(Assignments!$L$5:$L$124,Assignments!$D$5:$D$124,$B66,Assignments!$E$5:$E$124,$D66),9),IF(G66&gt;0,MINIFS(Quizzes!$J$5:$J$124,Quizzes!$C$5:$C$124,$B66,Quizzes!$D$5:$D$124,$D66),9))),"—")</f>
        <v/>
      </c>
      <c r="M66" s="52">
        <f>IF((E66+G66)=0,50,(1-IFERROR(I66,0))*100*MIN(1,(E66+G66)/3))</f>
        <v/>
      </c>
    </row>
    <row r="67">
      <c r="B67" s="54" t="inlineStr">
        <is>
          <t>Unit 2</t>
        </is>
      </c>
      <c r="C67" s="10" t="inlineStr">
        <is>
          <t>1. Numbers and the Number System</t>
        </is>
      </c>
      <c r="D67" s="10" t="inlineStr">
        <is>
          <t>Reverse Percentages (Foundation)</t>
        </is>
      </c>
      <c r="E67" s="23">
        <f>COUNTIFS(Assignments!$D$5:$D$124,$B67,Assignments!$E$5:$E$124,$D67)</f>
        <v/>
      </c>
      <c r="F67" s="49">
        <f>IFERROR(AVERAGEIFS(Assignments!$L$5:$L$124,Assignments!$D$5:$D$124,$B67,Assignments!$E$5:$E$124,$D67),"—")</f>
        <v/>
      </c>
      <c r="G67" s="23">
        <f>COUNTIFS(Quizzes!$C$5:$C$124,$B67,Quizzes!$D$5:$D$124,$D67)</f>
        <v/>
      </c>
      <c r="H67" s="49">
        <f>IFERROR(AVERAGEIFS(Quizzes!$J$5:$J$124,Quizzes!$C$5:$C$124,$B67,Quizzes!$D$5:$D$124,$D67),"—")</f>
        <v/>
      </c>
      <c r="I67" s="49">
        <f>IFERROR(IF((E67+G67)=0,"—",(IFERROR(F67*E67,0)+IFERROR(H67*G67,0))/(E67+G67)),"—")</f>
        <v/>
      </c>
      <c r="J67" s="49">
        <f>IFERROR(MAX(IFERROR(MAXIFS(Assignments!$L$5:$L$124,Assignments!$D$5:$D$124,$B67,Assignments!$E$5:$E$124,$D67),0),IFERROR(MAXIFS(Quizzes!$J$5:$J$124,Quizzes!$C$5:$C$124,$B67,Quizzes!$D$5:$D$124,$D67),0)),"—")</f>
        <v/>
      </c>
      <c r="K67" s="49">
        <f>IFERROR(IF((E67+G67)=0,"—",MIN(IF(E67&gt;0,MINIFS(Assignments!$L$5:$L$124,Assignments!$D$5:$D$124,$B67,Assignments!$E$5:$E$124,$D67),9),IF(G67&gt;0,MINIFS(Quizzes!$J$5:$J$124,Quizzes!$C$5:$C$124,$B67,Quizzes!$D$5:$D$124,$D67),9))),"—")</f>
        <v/>
      </c>
      <c r="M67" s="53">
        <f>IF((E67+G67)=0,50,(1-IFERROR(I67,0))*100*MIN(1,(E67+G67)/3))</f>
        <v/>
      </c>
    </row>
    <row r="68">
      <c r="B68" s="54" t="inlineStr">
        <is>
          <t>Unit 2</t>
        </is>
      </c>
      <c r="C68" s="8" t="inlineStr">
        <is>
          <t>1. Numbers and the Number System</t>
        </is>
      </c>
      <c r="D68" s="8" t="inlineStr">
        <is>
          <t>Repeated Percentage Change (Higher)</t>
        </is>
      </c>
      <c r="E68" s="17">
        <f>COUNTIFS(Assignments!$D$5:$D$124,$B68,Assignments!$E$5:$E$124,$D68)</f>
        <v/>
      </c>
      <c r="F68" s="48">
        <f>IFERROR(AVERAGEIFS(Assignments!$L$5:$L$124,Assignments!$D$5:$D$124,$B68,Assignments!$E$5:$E$124,$D68),"—")</f>
        <v/>
      </c>
      <c r="G68" s="17">
        <f>COUNTIFS(Quizzes!$C$5:$C$124,$B68,Quizzes!$D$5:$D$124,$D68)</f>
        <v/>
      </c>
      <c r="H68" s="48">
        <f>IFERROR(AVERAGEIFS(Quizzes!$J$5:$J$124,Quizzes!$C$5:$C$124,$B68,Quizzes!$D$5:$D$124,$D68),"—")</f>
        <v/>
      </c>
      <c r="I68" s="48">
        <f>IFERROR(IF((E68+G68)=0,"—",(IFERROR(F68*E68,0)+IFERROR(H68*G68,0))/(E68+G68)),"—")</f>
        <v/>
      </c>
      <c r="J68" s="48">
        <f>IFERROR(MAX(IFERROR(MAXIFS(Assignments!$L$5:$L$124,Assignments!$D$5:$D$124,$B68,Assignments!$E$5:$E$124,$D68),0),IFERROR(MAXIFS(Quizzes!$J$5:$J$124,Quizzes!$C$5:$C$124,$B68,Quizzes!$D$5:$D$124,$D68),0)),"—")</f>
        <v/>
      </c>
      <c r="K68" s="48">
        <f>IFERROR(IF((E68+G68)=0,"—",MIN(IF(E68&gt;0,MINIFS(Assignments!$L$5:$L$124,Assignments!$D$5:$D$124,$B68,Assignments!$E$5:$E$124,$D68),9),IF(G68&gt;0,MINIFS(Quizzes!$J$5:$J$124,Quizzes!$C$5:$C$124,$B68,Quizzes!$D$5:$D$124,$D68),9))),"—")</f>
        <v/>
      </c>
      <c r="M68" s="52">
        <f>IF((E68+G68)=0,50,(1-IFERROR(I68,0))*100*MIN(1,(E68+G68)/3))</f>
        <v/>
      </c>
    </row>
    <row r="69">
      <c r="B69" s="54" t="inlineStr">
        <is>
          <t>Unit 2</t>
        </is>
      </c>
      <c r="C69" s="10" t="inlineStr">
        <is>
          <t>1. Numbers and the Number System</t>
        </is>
      </c>
      <c r="D69" s="10" t="inlineStr">
        <is>
          <t>Ratio &amp; Proportion (Foundation)</t>
        </is>
      </c>
      <c r="E69" s="23">
        <f>COUNTIFS(Assignments!$D$5:$D$124,$B69,Assignments!$E$5:$E$124,$D69)</f>
        <v/>
      </c>
      <c r="F69" s="49">
        <f>IFERROR(AVERAGEIFS(Assignments!$L$5:$L$124,Assignments!$D$5:$D$124,$B69,Assignments!$E$5:$E$124,$D69),"—")</f>
        <v/>
      </c>
      <c r="G69" s="23">
        <f>COUNTIFS(Quizzes!$C$5:$C$124,$B69,Quizzes!$D$5:$D$124,$D69)</f>
        <v/>
      </c>
      <c r="H69" s="49">
        <f>IFERROR(AVERAGEIFS(Quizzes!$J$5:$J$124,Quizzes!$C$5:$C$124,$B69,Quizzes!$D$5:$D$124,$D69),"—")</f>
        <v/>
      </c>
      <c r="I69" s="49">
        <f>IFERROR(IF((E69+G69)=0,"—",(IFERROR(F69*E69,0)+IFERROR(H69*G69,0))/(E69+G69)),"—")</f>
        <v/>
      </c>
      <c r="J69" s="49">
        <f>IFERROR(MAX(IFERROR(MAXIFS(Assignments!$L$5:$L$124,Assignments!$D$5:$D$124,$B69,Assignments!$E$5:$E$124,$D69),0),IFERROR(MAXIFS(Quizzes!$J$5:$J$124,Quizzes!$C$5:$C$124,$B69,Quizzes!$D$5:$D$124,$D69),0)),"—")</f>
        <v/>
      </c>
      <c r="K69" s="49">
        <f>IFERROR(IF((E69+G69)=0,"—",MIN(IF(E69&gt;0,MINIFS(Assignments!$L$5:$L$124,Assignments!$D$5:$D$124,$B69,Assignments!$E$5:$E$124,$D69),9),IF(G69&gt;0,MINIFS(Quizzes!$J$5:$J$124,Quizzes!$C$5:$C$124,$B69,Quizzes!$D$5:$D$124,$D69),9))),"—")</f>
        <v/>
      </c>
      <c r="M69" s="53">
        <f>IF((E69+G69)=0,50,(1-IFERROR(I69,0))*100*MIN(1,(E69+G69)/3))</f>
        <v/>
      </c>
    </row>
    <row r="70">
      <c r="B70" s="54" t="inlineStr">
        <is>
          <t>Unit 2</t>
        </is>
      </c>
      <c r="C70" s="8" t="inlineStr">
        <is>
          <t>1. Numbers and the Number System</t>
        </is>
      </c>
      <c r="D70" s="8" t="inlineStr">
        <is>
          <t>Direct &amp; Inverse Proportion - Algebraic &amp; Graphical (Higher)</t>
        </is>
      </c>
      <c r="E70" s="17">
        <f>COUNTIFS(Assignments!$D$5:$D$124,$B70,Assignments!$E$5:$E$124,$D70)</f>
        <v/>
      </c>
      <c r="F70" s="48">
        <f>IFERROR(AVERAGEIFS(Assignments!$L$5:$L$124,Assignments!$D$5:$D$124,$B70,Assignments!$E$5:$E$124,$D70),"—")</f>
        <v/>
      </c>
      <c r="G70" s="17">
        <f>COUNTIFS(Quizzes!$C$5:$C$124,$B70,Quizzes!$D$5:$D$124,$D70)</f>
        <v/>
      </c>
      <c r="H70" s="48">
        <f>IFERROR(AVERAGEIFS(Quizzes!$J$5:$J$124,Quizzes!$C$5:$C$124,$B70,Quizzes!$D$5:$D$124,$D70),"—")</f>
        <v/>
      </c>
      <c r="I70" s="48">
        <f>IFERROR(IF((E70+G70)=0,"—",(IFERROR(F70*E70,0)+IFERROR(H70*G70,0))/(E70+G70)),"—")</f>
        <v/>
      </c>
      <c r="J70" s="48">
        <f>IFERROR(MAX(IFERROR(MAXIFS(Assignments!$L$5:$L$124,Assignments!$D$5:$D$124,$B70,Assignments!$E$5:$E$124,$D70),0),IFERROR(MAXIFS(Quizzes!$J$5:$J$124,Quizzes!$C$5:$C$124,$B70,Quizzes!$D$5:$D$124,$D70),0)),"—")</f>
        <v/>
      </c>
      <c r="K70" s="48">
        <f>IFERROR(IF((E70+G70)=0,"—",MIN(IF(E70&gt;0,MINIFS(Assignments!$L$5:$L$124,Assignments!$D$5:$D$124,$B70,Assignments!$E$5:$E$124,$D70),9),IF(G70&gt;0,MINIFS(Quizzes!$J$5:$J$124,Quizzes!$C$5:$C$124,$B70,Quizzes!$D$5:$D$124,$D70),9))),"—")</f>
        <v/>
      </c>
      <c r="M70" s="52">
        <f>IF((E70+G70)=0,50,(1-IFERROR(I70,0))*100*MIN(1,(E70+G70)/3))</f>
        <v/>
      </c>
    </row>
    <row r="71">
      <c r="B71" s="54" t="inlineStr">
        <is>
          <t>Unit 2</t>
        </is>
      </c>
      <c r="C71" s="10" t="inlineStr">
        <is>
          <t>2. Equations, Formulae &amp; Identities</t>
        </is>
      </c>
      <c r="D71" s="10" t="inlineStr">
        <is>
          <t>Rearranging Formulas - Subject Once (Foundation)</t>
        </is>
      </c>
      <c r="E71" s="23">
        <f>COUNTIFS(Assignments!$D$5:$D$124,$B71,Assignments!$E$5:$E$124,$D71)</f>
        <v/>
      </c>
      <c r="F71" s="49">
        <f>IFERROR(AVERAGEIFS(Assignments!$L$5:$L$124,Assignments!$D$5:$D$124,$B71,Assignments!$E$5:$E$124,$D71),"—")</f>
        <v/>
      </c>
      <c r="G71" s="23">
        <f>COUNTIFS(Quizzes!$C$5:$C$124,$B71,Quizzes!$D$5:$D$124,$D71)</f>
        <v/>
      </c>
      <c r="H71" s="49">
        <f>IFERROR(AVERAGEIFS(Quizzes!$J$5:$J$124,Quizzes!$C$5:$C$124,$B71,Quizzes!$D$5:$D$124,$D71),"—")</f>
        <v/>
      </c>
      <c r="I71" s="49">
        <f>IFERROR(IF((E71+G71)=0,"—",(IFERROR(F71*E71,0)+IFERROR(H71*G71,0))/(E71+G71)),"—")</f>
        <v/>
      </c>
      <c r="J71" s="49">
        <f>IFERROR(MAX(IFERROR(MAXIFS(Assignments!$L$5:$L$124,Assignments!$D$5:$D$124,$B71,Assignments!$E$5:$E$124,$D71),0),IFERROR(MAXIFS(Quizzes!$J$5:$J$124,Quizzes!$C$5:$C$124,$B71,Quizzes!$D$5:$D$124,$D71),0)),"—")</f>
        <v/>
      </c>
      <c r="K71" s="49">
        <f>IFERROR(IF((E71+G71)=0,"—",MIN(IF(E71&gt;0,MINIFS(Assignments!$L$5:$L$124,Assignments!$D$5:$D$124,$B71,Assignments!$E$5:$E$124,$D71),9),IF(G71&gt;0,MINIFS(Quizzes!$J$5:$J$124,Quizzes!$C$5:$C$124,$B71,Quizzes!$D$5:$D$124,$D71),9))),"—")</f>
        <v/>
      </c>
      <c r="M71" s="53">
        <f>IF((E71+G71)=0,50,(1-IFERROR(I71,0))*100*MIN(1,(E71+G71)/3))</f>
        <v/>
      </c>
    </row>
    <row r="72">
      <c r="B72" s="54" t="inlineStr">
        <is>
          <t>Unit 2</t>
        </is>
      </c>
      <c r="C72" s="8" t="inlineStr">
        <is>
          <t>2. Equations, Formulae &amp; Identities</t>
        </is>
      </c>
      <c r="D72" s="8" t="inlineStr">
        <is>
          <t>Rearranging Formulas - Subject Twice/Power (Higher)</t>
        </is>
      </c>
      <c r="E72" s="17">
        <f>COUNTIFS(Assignments!$D$5:$D$124,$B72,Assignments!$E$5:$E$124,$D72)</f>
        <v/>
      </c>
      <c r="F72" s="48">
        <f>IFERROR(AVERAGEIFS(Assignments!$L$5:$L$124,Assignments!$D$5:$D$124,$B72,Assignments!$E$5:$E$124,$D72),"—")</f>
        <v/>
      </c>
      <c r="G72" s="17">
        <f>COUNTIFS(Quizzes!$C$5:$C$124,$B72,Quizzes!$D$5:$D$124,$D72)</f>
        <v/>
      </c>
      <c r="H72" s="48">
        <f>IFERROR(AVERAGEIFS(Quizzes!$J$5:$J$124,Quizzes!$C$5:$C$124,$B72,Quizzes!$D$5:$D$124,$D72),"—")</f>
        <v/>
      </c>
      <c r="I72" s="48">
        <f>IFERROR(IF((E72+G72)=0,"—",(IFERROR(F72*E72,0)+IFERROR(H72*G72,0))/(E72+G72)),"—")</f>
        <v/>
      </c>
      <c r="J72" s="48">
        <f>IFERROR(MAX(IFERROR(MAXIFS(Assignments!$L$5:$L$124,Assignments!$D$5:$D$124,$B72,Assignments!$E$5:$E$124,$D72),0),IFERROR(MAXIFS(Quizzes!$J$5:$J$124,Quizzes!$C$5:$C$124,$B72,Quizzes!$D$5:$D$124,$D72),0)),"—")</f>
        <v/>
      </c>
      <c r="K72" s="48">
        <f>IFERROR(IF((E72+G72)=0,"—",MIN(IF(E72&gt;0,MINIFS(Assignments!$L$5:$L$124,Assignments!$D$5:$D$124,$B72,Assignments!$E$5:$E$124,$D72),9),IF(G72&gt;0,MINIFS(Quizzes!$J$5:$J$124,Quizzes!$C$5:$C$124,$B72,Quizzes!$D$5:$D$124,$D72),9))),"—")</f>
        <v/>
      </c>
      <c r="M72" s="52">
        <f>IF((E72+G72)=0,50,(1-IFERROR(I72,0))*100*MIN(1,(E72+G72)/3))</f>
        <v/>
      </c>
    </row>
    <row r="73">
      <c r="B73" s="54" t="inlineStr">
        <is>
          <t>Unit 2</t>
        </is>
      </c>
      <c r="C73" s="10" t="inlineStr">
        <is>
          <t>2. Equations, Formulae &amp; Identities</t>
        </is>
      </c>
      <c r="D73" s="10" t="inlineStr">
        <is>
          <t>Solving Linear Inequalities (Foundation)</t>
        </is>
      </c>
      <c r="E73" s="23">
        <f>COUNTIFS(Assignments!$D$5:$D$124,$B73,Assignments!$E$5:$E$124,$D73)</f>
        <v/>
      </c>
      <c r="F73" s="49">
        <f>IFERROR(AVERAGEIFS(Assignments!$L$5:$L$124,Assignments!$D$5:$D$124,$B73,Assignments!$E$5:$E$124,$D73),"—")</f>
        <v/>
      </c>
      <c r="G73" s="23">
        <f>COUNTIFS(Quizzes!$C$5:$C$124,$B73,Quizzes!$D$5:$D$124,$D73)</f>
        <v/>
      </c>
      <c r="H73" s="49">
        <f>IFERROR(AVERAGEIFS(Quizzes!$J$5:$J$124,Quizzes!$C$5:$C$124,$B73,Quizzes!$D$5:$D$124,$D73),"—")</f>
        <v/>
      </c>
      <c r="I73" s="49">
        <f>IFERROR(IF((E73+G73)=0,"—",(IFERROR(F73*E73,0)+IFERROR(H73*G73,0))/(E73+G73)),"—")</f>
        <v/>
      </c>
      <c r="J73" s="49">
        <f>IFERROR(MAX(IFERROR(MAXIFS(Assignments!$L$5:$L$124,Assignments!$D$5:$D$124,$B73,Assignments!$E$5:$E$124,$D73),0),IFERROR(MAXIFS(Quizzes!$J$5:$J$124,Quizzes!$C$5:$C$124,$B73,Quizzes!$D$5:$D$124,$D73),0)),"—")</f>
        <v/>
      </c>
      <c r="K73" s="49">
        <f>IFERROR(IF((E73+G73)=0,"—",MIN(IF(E73&gt;0,MINIFS(Assignments!$L$5:$L$124,Assignments!$D$5:$D$124,$B73,Assignments!$E$5:$E$124,$D73),9),IF(G73&gt;0,MINIFS(Quizzes!$J$5:$J$124,Quizzes!$C$5:$C$124,$B73,Quizzes!$D$5:$D$124,$D73),9))),"—")</f>
        <v/>
      </c>
      <c r="M73" s="53">
        <f>IF((E73+G73)=0,50,(1-IFERROR(I73,0))*100*MIN(1,(E73+G73)/3))</f>
        <v/>
      </c>
    </row>
    <row r="74">
      <c r="B74" s="54" t="inlineStr">
        <is>
          <t>Unit 2</t>
        </is>
      </c>
      <c r="C74" s="8" t="inlineStr">
        <is>
          <t>2. Equations, Formulae &amp; Identities</t>
        </is>
      </c>
      <c r="D74" s="8" t="inlineStr">
        <is>
          <t>Solving Quadratic Inequalities (Higher)</t>
        </is>
      </c>
      <c r="E74" s="17">
        <f>COUNTIFS(Assignments!$D$5:$D$124,$B74,Assignments!$E$5:$E$124,$D74)</f>
        <v/>
      </c>
      <c r="F74" s="48">
        <f>IFERROR(AVERAGEIFS(Assignments!$L$5:$L$124,Assignments!$D$5:$D$124,$B74,Assignments!$E$5:$E$124,$D74),"—")</f>
        <v/>
      </c>
      <c r="G74" s="17">
        <f>COUNTIFS(Quizzes!$C$5:$C$124,$B74,Quizzes!$D$5:$D$124,$D74)</f>
        <v/>
      </c>
      <c r="H74" s="48">
        <f>IFERROR(AVERAGEIFS(Quizzes!$J$5:$J$124,Quizzes!$C$5:$C$124,$B74,Quizzes!$D$5:$D$124,$D74),"—")</f>
        <v/>
      </c>
      <c r="I74" s="48">
        <f>IFERROR(IF((E74+G74)=0,"—",(IFERROR(F74*E74,0)+IFERROR(H74*G74,0))/(E74+G74)),"—")</f>
        <v/>
      </c>
      <c r="J74" s="48">
        <f>IFERROR(MAX(IFERROR(MAXIFS(Assignments!$L$5:$L$124,Assignments!$D$5:$D$124,$B74,Assignments!$E$5:$E$124,$D74),0),IFERROR(MAXIFS(Quizzes!$J$5:$J$124,Quizzes!$C$5:$C$124,$B74,Quizzes!$D$5:$D$124,$D74),0)),"—")</f>
        <v/>
      </c>
      <c r="K74" s="48">
        <f>IFERROR(IF((E74+G74)=0,"—",MIN(IF(E74&gt;0,MINIFS(Assignments!$L$5:$L$124,Assignments!$D$5:$D$124,$B74,Assignments!$E$5:$E$124,$D74),9),IF(G74&gt;0,MINIFS(Quizzes!$J$5:$J$124,Quizzes!$C$5:$C$124,$B74,Quizzes!$D$5:$D$124,$D74),9))),"—")</f>
        <v/>
      </c>
      <c r="M74" s="52">
        <f>IF((E74+G74)=0,50,(1-IFERROR(I74,0))*100*MIN(1,(E74+G74)/3))</f>
        <v/>
      </c>
    </row>
    <row r="75">
      <c r="B75" s="54" t="inlineStr">
        <is>
          <t>Unit 2</t>
        </is>
      </c>
      <c r="C75" s="10" t="inlineStr">
        <is>
          <t>2. Equations, Formulae &amp; Identities</t>
        </is>
      </c>
      <c r="D75" s="10" t="inlineStr">
        <is>
          <t>Simultaneous Linear Equations (Foundation)</t>
        </is>
      </c>
      <c r="E75" s="23">
        <f>COUNTIFS(Assignments!$D$5:$D$124,$B75,Assignments!$E$5:$E$124,$D75)</f>
        <v/>
      </c>
      <c r="F75" s="49">
        <f>IFERROR(AVERAGEIFS(Assignments!$L$5:$L$124,Assignments!$D$5:$D$124,$B75,Assignments!$E$5:$E$124,$D75),"—")</f>
        <v/>
      </c>
      <c r="G75" s="23">
        <f>COUNTIFS(Quizzes!$C$5:$C$124,$B75,Quizzes!$D$5:$D$124,$D75)</f>
        <v/>
      </c>
      <c r="H75" s="49">
        <f>IFERROR(AVERAGEIFS(Quizzes!$J$5:$J$124,Quizzes!$C$5:$C$124,$B75,Quizzes!$D$5:$D$124,$D75),"—")</f>
        <v/>
      </c>
      <c r="I75" s="49">
        <f>IFERROR(IF((E75+G75)=0,"—",(IFERROR(F75*E75,0)+IFERROR(H75*G75,0))/(E75+G75)),"—")</f>
        <v/>
      </c>
      <c r="J75" s="49">
        <f>IFERROR(MAX(IFERROR(MAXIFS(Assignments!$L$5:$L$124,Assignments!$D$5:$D$124,$B75,Assignments!$E$5:$E$124,$D75),0),IFERROR(MAXIFS(Quizzes!$J$5:$J$124,Quizzes!$C$5:$C$124,$B75,Quizzes!$D$5:$D$124,$D75),0)),"—")</f>
        <v/>
      </c>
      <c r="K75" s="49">
        <f>IFERROR(IF((E75+G75)=0,"—",MIN(IF(E75&gt;0,MINIFS(Assignments!$L$5:$L$124,Assignments!$D$5:$D$124,$B75,Assignments!$E$5:$E$124,$D75),9),IF(G75&gt;0,MINIFS(Quizzes!$J$5:$J$124,Quizzes!$C$5:$C$124,$B75,Quizzes!$D$5:$D$124,$D75),9))),"—")</f>
        <v/>
      </c>
      <c r="M75" s="53">
        <f>IF((E75+G75)=0,50,(1-IFERROR(I75,0))*100*MIN(1,(E75+G75)/3))</f>
        <v/>
      </c>
    </row>
    <row r="76">
      <c r="B76" s="54" t="inlineStr">
        <is>
          <t>Unit 2</t>
        </is>
      </c>
      <c r="C76" s="8" t="inlineStr">
        <is>
          <t>2. Equations, Formulae &amp; Identities</t>
        </is>
      </c>
      <c r="D76" s="8" t="inlineStr">
        <is>
          <t>Simultaneous Linear &amp; Quadratic (Higher)</t>
        </is>
      </c>
      <c r="E76" s="17">
        <f>COUNTIFS(Assignments!$D$5:$D$124,$B76,Assignments!$E$5:$E$124,$D76)</f>
        <v/>
      </c>
      <c r="F76" s="48">
        <f>IFERROR(AVERAGEIFS(Assignments!$L$5:$L$124,Assignments!$D$5:$D$124,$B76,Assignments!$E$5:$E$124,$D76),"—")</f>
        <v/>
      </c>
      <c r="G76" s="17">
        <f>COUNTIFS(Quizzes!$C$5:$C$124,$B76,Quizzes!$D$5:$D$124,$D76)</f>
        <v/>
      </c>
      <c r="H76" s="48">
        <f>IFERROR(AVERAGEIFS(Quizzes!$J$5:$J$124,Quizzes!$C$5:$C$124,$B76,Quizzes!$D$5:$D$124,$D76),"—")</f>
        <v/>
      </c>
      <c r="I76" s="48">
        <f>IFERROR(IF((E76+G76)=0,"—",(IFERROR(F76*E76,0)+IFERROR(H76*G76,0))/(E76+G76)),"—")</f>
        <v/>
      </c>
      <c r="J76" s="48">
        <f>IFERROR(MAX(IFERROR(MAXIFS(Assignments!$L$5:$L$124,Assignments!$D$5:$D$124,$B76,Assignments!$E$5:$E$124,$D76),0),IFERROR(MAXIFS(Quizzes!$J$5:$J$124,Quizzes!$C$5:$C$124,$B76,Quizzes!$D$5:$D$124,$D76),0)),"—")</f>
        <v/>
      </c>
      <c r="K76" s="48">
        <f>IFERROR(IF((E76+G76)=0,"—",MIN(IF(E76&gt;0,MINIFS(Assignments!$L$5:$L$124,Assignments!$D$5:$D$124,$B76,Assignments!$E$5:$E$124,$D76),9),IF(G76&gt;0,MINIFS(Quizzes!$J$5:$J$124,Quizzes!$C$5:$C$124,$B76,Quizzes!$D$5:$D$124,$D76),9))),"—")</f>
        <v/>
      </c>
      <c r="M76" s="52">
        <f>IF((E76+G76)=0,50,(1-IFERROR(I76,0))*100*MIN(1,(E76+G76)/3))</f>
        <v/>
      </c>
    </row>
    <row r="77">
      <c r="B77" s="54" t="inlineStr">
        <is>
          <t>Unit 2</t>
        </is>
      </c>
      <c r="C77" s="10" t="inlineStr">
        <is>
          <t>2. Equations, Formulae &amp; Identities</t>
        </is>
      </c>
      <c r="D77" s="10" t="inlineStr">
        <is>
          <t>Algebraic Proof (Higher)</t>
        </is>
      </c>
      <c r="E77" s="23">
        <f>COUNTIFS(Assignments!$D$5:$D$124,$B77,Assignments!$E$5:$E$124,$D77)</f>
        <v/>
      </c>
      <c r="F77" s="49">
        <f>IFERROR(AVERAGEIFS(Assignments!$L$5:$L$124,Assignments!$D$5:$D$124,$B77,Assignments!$E$5:$E$124,$D77),"—")</f>
        <v/>
      </c>
      <c r="G77" s="23">
        <f>COUNTIFS(Quizzes!$C$5:$C$124,$B77,Quizzes!$D$5:$D$124,$D77)</f>
        <v/>
      </c>
      <c r="H77" s="49">
        <f>IFERROR(AVERAGEIFS(Quizzes!$J$5:$J$124,Quizzes!$C$5:$C$124,$B77,Quizzes!$D$5:$D$124,$D77),"—")</f>
        <v/>
      </c>
      <c r="I77" s="49">
        <f>IFERROR(IF((E77+G77)=0,"—",(IFERROR(F77*E77,0)+IFERROR(H77*G77,0))/(E77+G77)),"—")</f>
        <v/>
      </c>
      <c r="J77" s="49">
        <f>IFERROR(MAX(IFERROR(MAXIFS(Assignments!$L$5:$L$124,Assignments!$D$5:$D$124,$B77,Assignments!$E$5:$E$124,$D77),0),IFERROR(MAXIFS(Quizzes!$J$5:$J$124,Quizzes!$C$5:$C$124,$B77,Quizzes!$D$5:$D$124,$D77),0)),"—")</f>
        <v/>
      </c>
      <c r="K77" s="49">
        <f>IFERROR(IF((E77+G77)=0,"—",MIN(IF(E77&gt;0,MINIFS(Assignments!$L$5:$L$124,Assignments!$D$5:$D$124,$B77,Assignments!$E$5:$E$124,$D77),9),IF(G77&gt;0,MINIFS(Quizzes!$J$5:$J$124,Quizzes!$C$5:$C$124,$B77,Quizzes!$D$5:$D$124,$D77),9))),"—")</f>
        <v/>
      </c>
      <c r="M77" s="53">
        <f>IF((E77+G77)=0,50,(1-IFERROR(I77,0))*100*MIN(1,(E77+G77)/3))</f>
        <v/>
      </c>
    </row>
    <row r="78">
      <c r="B78" s="54" t="inlineStr">
        <is>
          <t>Unit 2</t>
        </is>
      </c>
      <c r="C78" s="8" t="inlineStr">
        <is>
          <t>3. Sequences, Functions &amp; Graphs</t>
        </is>
      </c>
      <c r="D78" s="8" t="inlineStr">
        <is>
          <t>Sequences - Arithmetic nth term (Foundation)</t>
        </is>
      </c>
      <c r="E78" s="17">
        <f>COUNTIFS(Assignments!$D$5:$D$124,$B78,Assignments!$E$5:$E$124,$D78)</f>
        <v/>
      </c>
      <c r="F78" s="48">
        <f>IFERROR(AVERAGEIFS(Assignments!$L$5:$L$124,Assignments!$D$5:$D$124,$B78,Assignments!$E$5:$E$124,$D78),"—")</f>
        <v/>
      </c>
      <c r="G78" s="17">
        <f>COUNTIFS(Quizzes!$C$5:$C$124,$B78,Quizzes!$D$5:$D$124,$D78)</f>
        <v/>
      </c>
      <c r="H78" s="48">
        <f>IFERROR(AVERAGEIFS(Quizzes!$J$5:$J$124,Quizzes!$C$5:$C$124,$B78,Quizzes!$D$5:$D$124,$D78),"—")</f>
        <v/>
      </c>
      <c r="I78" s="48">
        <f>IFERROR(IF((E78+G78)=0,"—",(IFERROR(F78*E78,0)+IFERROR(H78*G78,0))/(E78+G78)),"—")</f>
        <v/>
      </c>
      <c r="J78" s="48">
        <f>IFERROR(MAX(IFERROR(MAXIFS(Assignments!$L$5:$L$124,Assignments!$D$5:$D$124,$B78,Assignments!$E$5:$E$124,$D78),0),IFERROR(MAXIFS(Quizzes!$J$5:$J$124,Quizzes!$C$5:$C$124,$B78,Quizzes!$D$5:$D$124,$D78),0)),"—")</f>
        <v/>
      </c>
      <c r="K78" s="48">
        <f>IFERROR(IF((E78+G78)=0,"—",MIN(IF(E78&gt;0,MINIFS(Assignments!$L$5:$L$124,Assignments!$D$5:$D$124,$B78,Assignments!$E$5:$E$124,$D78),9),IF(G78&gt;0,MINIFS(Quizzes!$J$5:$J$124,Quizzes!$C$5:$C$124,$B78,Quizzes!$D$5:$D$124,$D78),9))),"—")</f>
        <v/>
      </c>
      <c r="M78" s="52">
        <f>IF((E78+G78)=0,50,(1-IFERROR(I78,0))*100*MIN(1,(E78+G78)/3))</f>
        <v/>
      </c>
    </row>
    <row r="79">
      <c r="B79" s="54" t="inlineStr">
        <is>
          <t>Unit 2</t>
        </is>
      </c>
      <c r="C79" s="10" t="inlineStr">
        <is>
          <t>3. Sequences, Functions &amp; Graphs</t>
        </is>
      </c>
      <c r="D79" s="10" t="inlineStr">
        <is>
          <t>Summation of Arithmetic Series (Higher)</t>
        </is>
      </c>
      <c r="E79" s="23">
        <f>COUNTIFS(Assignments!$D$5:$D$124,$B79,Assignments!$E$5:$E$124,$D79)</f>
        <v/>
      </c>
      <c r="F79" s="49">
        <f>IFERROR(AVERAGEIFS(Assignments!$L$5:$L$124,Assignments!$D$5:$D$124,$B79,Assignments!$E$5:$E$124,$D79),"—")</f>
        <v/>
      </c>
      <c r="G79" s="23">
        <f>COUNTIFS(Quizzes!$C$5:$C$124,$B79,Quizzes!$D$5:$D$124,$D79)</f>
        <v/>
      </c>
      <c r="H79" s="49">
        <f>IFERROR(AVERAGEIFS(Quizzes!$J$5:$J$124,Quizzes!$C$5:$C$124,$B79,Quizzes!$D$5:$D$124,$D79),"—")</f>
        <v/>
      </c>
      <c r="I79" s="49">
        <f>IFERROR(IF((E79+G79)=0,"—",(IFERROR(F79*E79,0)+IFERROR(H79*G79,0))/(E79+G79)),"—")</f>
        <v/>
      </c>
      <c r="J79" s="49">
        <f>IFERROR(MAX(IFERROR(MAXIFS(Assignments!$L$5:$L$124,Assignments!$D$5:$D$124,$B79,Assignments!$E$5:$E$124,$D79),0),IFERROR(MAXIFS(Quizzes!$J$5:$J$124,Quizzes!$C$5:$C$124,$B79,Quizzes!$D$5:$D$124,$D79),0)),"—")</f>
        <v/>
      </c>
      <c r="K79" s="49">
        <f>IFERROR(IF((E79+G79)=0,"—",MIN(IF(E79&gt;0,MINIFS(Assignments!$L$5:$L$124,Assignments!$D$5:$D$124,$B79,Assignments!$E$5:$E$124,$D79),9),IF(G79&gt;0,MINIFS(Quizzes!$J$5:$J$124,Quizzes!$C$5:$C$124,$B79,Quizzes!$D$5:$D$124,$D79),9))),"—")</f>
        <v/>
      </c>
      <c r="M79" s="53">
        <f>IF((E79+G79)=0,50,(1-IFERROR(I79,0))*100*MIN(1,(E79+G79)/3))</f>
        <v/>
      </c>
    </row>
    <row r="80">
      <c r="B80" s="54" t="inlineStr">
        <is>
          <t>Unit 2</t>
        </is>
      </c>
      <c r="C80" s="8" t="inlineStr">
        <is>
          <t>3. Sequences, Functions &amp; Graphs</t>
        </is>
      </c>
      <c r="D80" s="8" t="inlineStr">
        <is>
          <t>Function Notation &amp; Transformations (Higher)</t>
        </is>
      </c>
      <c r="E80" s="17">
        <f>COUNTIFS(Assignments!$D$5:$D$124,$B80,Assignments!$E$5:$E$124,$D80)</f>
        <v/>
      </c>
      <c r="F80" s="48">
        <f>IFERROR(AVERAGEIFS(Assignments!$L$5:$L$124,Assignments!$D$5:$D$124,$B80,Assignments!$E$5:$E$124,$D80),"—")</f>
        <v/>
      </c>
      <c r="G80" s="17">
        <f>COUNTIFS(Quizzes!$C$5:$C$124,$B80,Quizzes!$D$5:$D$124,$D80)</f>
        <v/>
      </c>
      <c r="H80" s="48">
        <f>IFERROR(AVERAGEIFS(Quizzes!$J$5:$J$124,Quizzes!$C$5:$C$124,$B80,Quizzes!$D$5:$D$124,$D80),"—")</f>
        <v/>
      </c>
      <c r="I80" s="48">
        <f>IFERROR(IF((E80+G80)=0,"—",(IFERROR(F80*E80,0)+IFERROR(H80*G80,0))/(E80+G80)),"—")</f>
        <v/>
      </c>
      <c r="J80" s="48">
        <f>IFERROR(MAX(IFERROR(MAXIFS(Assignments!$L$5:$L$124,Assignments!$D$5:$D$124,$B80,Assignments!$E$5:$E$124,$D80),0),IFERROR(MAXIFS(Quizzes!$J$5:$J$124,Quizzes!$C$5:$C$124,$B80,Quizzes!$D$5:$D$124,$D80),0)),"—")</f>
        <v/>
      </c>
      <c r="K80" s="48">
        <f>IFERROR(IF((E80+G80)=0,"—",MIN(IF(E80&gt;0,MINIFS(Assignments!$L$5:$L$124,Assignments!$D$5:$D$124,$B80,Assignments!$E$5:$E$124,$D80),9),IF(G80&gt;0,MINIFS(Quizzes!$J$5:$J$124,Quizzes!$C$5:$C$124,$B80,Quizzes!$D$5:$D$124,$D80),9))),"—")</f>
        <v/>
      </c>
      <c r="M80" s="52">
        <f>IF((E80+G80)=0,50,(1-IFERROR(I80,0))*100*MIN(1,(E80+G80)/3))</f>
        <v/>
      </c>
    </row>
    <row r="81">
      <c r="B81" s="54" t="inlineStr">
        <is>
          <t>Unit 2</t>
        </is>
      </c>
      <c r="C81" s="10" t="inlineStr">
        <is>
          <t>3. Sequences, Functions &amp; Graphs</t>
        </is>
      </c>
      <c r="D81" s="10" t="inlineStr">
        <is>
          <t>Transformations of Graphs (Higher)</t>
        </is>
      </c>
      <c r="E81" s="23">
        <f>COUNTIFS(Assignments!$D$5:$D$124,$B81,Assignments!$E$5:$E$124,$D81)</f>
        <v/>
      </c>
      <c r="F81" s="49">
        <f>IFERROR(AVERAGEIFS(Assignments!$L$5:$L$124,Assignments!$D$5:$D$124,$B81,Assignments!$E$5:$E$124,$D81),"—")</f>
        <v/>
      </c>
      <c r="G81" s="23">
        <f>COUNTIFS(Quizzes!$C$5:$C$124,$B81,Quizzes!$D$5:$D$124,$D81)</f>
        <v/>
      </c>
      <c r="H81" s="49">
        <f>IFERROR(AVERAGEIFS(Quizzes!$J$5:$J$124,Quizzes!$C$5:$C$124,$B81,Quizzes!$D$5:$D$124,$D81),"—")</f>
        <v/>
      </c>
      <c r="I81" s="49">
        <f>IFERROR(IF((E81+G81)=0,"—",(IFERROR(F81*E81,0)+IFERROR(H81*G81,0))/(E81+G81)),"—")</f>
        <v/>
      </c>
      <c r="J81" s="49">
        <f>IFERROR(MAX(IFERROR(MAXIFS(Assignments!$L$5:$L$124,Assignments!$D$5:$D$124,$B81,Assignments!$E$5:$E$124,$D81),0),IFERROR(MAXIFS(Quizzes!$J$5:$J$124,Quizzes!$C$5:$C$124,$B81,Quizzes!$D$5:$D$124,$D81),0)),"—")</f>
        <v/>
      </c>
      <c r="K81" s="49">
        <f>IFERROR(IF((E81+G81)=0,"—",MIN(IF(E81&gt;0,MINIFS(Assignments!$L$5:$L$124,Assignments!$D$5:$D$124,$B81,Assignments!$E$5:$E$124,$D81),9),IF(G81&gt;0,MINIFS(Quizzes!$J$5:$J$124,Quizzes!$C$5:$C$124,$B81,Quizzes!$D$5:$D$124,$D81),9))),"—")</f>
        <v/>
      </c>
      <c r="M81" s="53">
        <f>IF((E81+G81)=0,50,(1-IFERROR(I81,0))*100*MIN(1,(E81+G81)/3))</f>
        <v/>
      </c>
    </row>
    <row r="82">
      <c r="B82" s="54" t="inlineStr">
        <is>
          <t>Unit 2</t>
        </is>
      </c>
      <c r="C82" s="8" t="inlineStr">
        <is>
          <t>3. Sequences, Functions &amp; Graphs</t>
        </is>
      </c>
      <c r="D82" s="8" t="inlineStr">
        <is>
          <t>Differentiation (Higher)</t>
        </is>
      </c>
      <c r="E82" s="17">
        <f>COUNTIFS(Assignments!$D$5:$D$124,$B82,Assignments!$E$5:$E$124,$D82)</f>
        <v/>
      </c>
      <c r="F82" s="48">
        <f>IFERROR(AVERAGEIFS(Assignments!$L$5:$L$124,Assignments!$D$5:$D$124,$B82,Assignments!$E$5:$E$124,$D82),"—")</f>
        <v/>
      </c>
      <c r="G82" s="17">
        <f>COUNTIFS(Quizzes!$C$5:$C$124,$B82,Quizzes!$D$5:$D$124,$D82)</f>
        <v/>
      </c>
      <c r="H82" s="48">
        <f>IFERROR(AVERAGEIFS(Quizzes!$J$5:$J$124,Quizzes!$C$5:$C$124,$B82,Quizzes!$D$5:$D$124,$D82),"—")</f>
        <v/>
      </c>
      <c r="I82" s="48">
        <f>IFERROR(IF((E82+G82)=0,"—",(IFERROR(F82*E82,0)+IFERROR(H82*G82,0))/(E82+G82)),"—")</f>
        <v/>
      </c>
      <c r="J82" s="48">
        <f>IFERROR(MAX(IFERROR(MAXIFS(Assignments!$L$5:$L$124,Assignments!$D$5:$D$124,$B82,Assignments!$E$5:$E$124,$D82),0),IFERROR(MAXIFS(Quizzes!$J$5:$J$124,Quizzes!$C$5:$C$124,$B82,Quizzes!$D$5:$D$124,$D82),0)),"—")</f>
        <v/>
      </c>
      <c r="K82" s="48">
        <f>IFERROR(IF((E82+G82)=0,"—",MIN(IF(E82&gt;0,MINIFS(Assignments!$L$5:$L$124,Assignments!$D$5:$D$124,$B82,Assignments!$E$5:$E$124,$D82),9),IF(G82&gt;0,MINIFS(Quizzes!$J$5:$J$124,Quizzes!$C$5:$C$124,$B82,Quizzes!$D$5:$D$124,$D82),9))),"—")</f>
        <v/>
      </c>
      <c r="M82" s="52">
        <f>IF((E82+G82)=0,50,(1-IFERROR(I82,0))*100*MIN(1,(E82+G82)/3))</f>
        <v/>
      </c>
    </row>
    <row r="83">
      <c r="B83" s="54" t="inlineStr">
        <is>
          <t>Unit 2</t>
        </is>
      </c>
      <c r="C83" s="10" t="inlineStr">
        <is>
          <t>4. Geometry &amp; Trigonometry</t>
        </is>
      </c>
      <c r="D83" s="10" t="inlineStr">
        <is>
          <t>Angles in Polygons &amp; Circles (Foundation)</t>
        </is>
      </c>
      <c r="E83" s="23">
        <f>COUNTIFS(Assignments!$D$5:$D$124,$B83,Assignments!$E$5:$E$124,$D83)</f>
        <v/>
      </c>
      <c r="F83" s="49">
        <f>IFERROR(AVERAGEIFS(Assignments!$L$5:$L$124,Assignments!$D$5:$D$124,$B83,Assignments!$E$5:$E$124,$D83),"—")</f>
        <v/>
      </c>
      <c r="G83" s="23">
        <f>COUNTIFS(Quizzes!$C$5:$C$124,$B83,Quizzes!$D$5:$D$124,$D83)</f>
        <v/>
      </c>
      <c r="H83" s="49">
        <f>IFERROR(AVERAGEIFS(Quizzes!$J$5:$J$124,Quizzes!$C$5:$C$124,$B83,Quizzes!$D$5:$D$124,$D83),"—")</f>
        <v/>
      </c>
      <c r="I83" s="49">
        <f>IFERROR(IF((E83+G83)=0,"—",(IFERROR(F83*E83,0)+IFERROR(H83*G83,0))/(E83+G83)),"—")</f>
        <v/>
      </c>
      <c r="J83" s="49">
        <f>IFERROR(MAX(IFERROR(MAXIFS(Assignments!$L$5:$L$124,Assignments!$D$5:$D$124,$B83,Assignments!$E$5:$E$124,$D83),0),IFERROR(MAXIFS(Quizzes!$J$5:$J$124,Quizzes!$C$5:$C$124,$B83,Quizzes!$D$5:$D$124,$D83),0)),"—")</f>
        <v/>
      </c>
      <c r="K83" s="49">
        <f>IFERROR(IF((E83+G83)=0,"—",MIN(IF(E83&gt;0,MINIFS(Assignments!$L$5:$L$124,Assignments!$D$5:$D$124,$B83,Assignments!$E$5:$E$124,$D83),9),IF(G83&gt;0,MINIFS(Quizzes!$J$5:$J$124,Quizzes!$C$5:$C$124,$B83,Quizzes!$D$5:$D$124,$D83),9))),"—")</f>
        <v/>
      </c>
      <c r="M83" s="53">
        <f>IF((E83+G83)=0,50,(1-IFERROR(I83,0))*100*MIN(1,(E83+G83)/3))</f>
        <v/>
      </c>
    </row>
    <row r="84">
      <c r="B84" s="54" t="inlineStr">
        <is>
          <t>Unit 2</t>
        </is>
      </c>
      <c r="C84" s="8" t="inlineStr">
        <is>
          <t>4. Geometry &amp; Trigonometry</t>
        </is>
      </c>
      <c r="D84" s="8" t="inlineStr">
        <is>
          <t>Symmetry (Foundation)</t>
        </is>
      </c>
      <c r="E84" s="17">
        <f>COUNTIFS(Assignments!$D$5:$D$124,$B84,Assignments!$E$5:$E$124,$D84)</f>
        <v/>
      </c>
      <c r="F84" s="48">
        <f>IFERROR(AVERAGEIFS(Assignments!$L$5:$L$124,Assignments!$D$5:$D$124,$B84,Assignments!$E$5:$E$124,$D84),"—")</f>
        <v/>
      </c>
      <c r="G84" s="17">
        <f>COUNTIFS(Quizzes!$C$5:$C$124,$B84,Quizzes!$D$5:$D$124,$D84)</f>
        <v/>
      </c>
      <c r="H84" s="48">
        <f>IFERROR(AVERAGEIFS(Quizzes!$J$5:$J$124,Quizzes!$C$5:$C$124,$B84,Quizzes!$D$5:$D$124,$D84),"—")</f>
        <v/>
      </c>
      <c r="I84" s="48">
        <f>IFERROR(IF((E84+G84)=0,"—",(IFERROR(F84*E84,0)+IFERROR(H84*G84,0))/(E84+G84)),"—")</f>
        <v/>
      </c>
      <c r="J84" s="48">
        <f>IFERROR(MAX(IFERROR(MAXIFS(Assignments!$L$5:$L$124,Assignments!$D$5:$D$124,$B84,Assignments!$E$5:$E$124,$D84),0),IFERROR(MAXIFS(Quizzes!$J$5:$J$124,Quizzes!$C$5:$C$124,$B84,Quizzes!$D$5:$D$124,$D84),0)),"—")</f>
        <v/>
      </c>
      <c r="K84" s="48">
        <f>IFERROR(IF((E84+G84)=0,"—",MIN(IF(E84&gt;0,MINIFS(Assignments!$L$5:$L$124,Assignments!$D$5:$D$124,$B84,Assignments!$E$5:$E$124,$D84),9),IF(G84&gt;0,MINIFS(Quizzes!$J$5:$J$124,Quizzes!$C$5:$C$124,$B84,Quizzes!$D$5:$D$124,$D84),9))),"—")</f>
        <v/>
      </c>
      <c r="M84" s="52">
        <f>IF((E84+G84)=0,50,(1-IFERROR(I84,0))*100*MIN(1,(E84+G84)/3))</f>
        <v/>
      </c>
    </row>
    <row r="85">
      <c r="B85" s="54" t="inlineStr">
        <is>
          <t>Unit 2</t>
        </is>
      </c>
      <c r="C85" s="10" t="inlineStr">
        <is>
          <t>4. Geometry &amp; Trigonometry</t>
        </is>
      </c>
      <c r="D85" s="10" t="inlineStr">
        <is>
          <t>Constructions (Foundation)</t>
        </is>
      </c>
      <c r="E85" s="23">
        <f>COUNTIFS(Assignments!$D$5:$D$124,$B85,Assignments!$E$5:$E$124,$D85)</f>
        <v/>
      </c>
      <c r="F85" s="49">
        <f>IFERROR(AVERAGEIFS(Assignments!$L$5:$L$124,Assignments!$D$5:$D$124,$B85,Assignments!$E$5:$E$124,$D85),"—")</f>
        <v/>
      </c>
      <c r="G85" s="23">
        <f>COUNTIFS(Quizzes!$C$5:$C$124,$B85,Quizzes!$D$5:$D$124,$D85)</f>
        <v/>
      </c>
      <c r="H85" s="49">
        <f>IFERROR(AVERAGEIFS(Quizzes!$J$5:$J$124,Quizzes!$C$5:$C$124,$B85,Quizzes!$D$5:$D$124,$D85),"—")</f>
        <v/>
      </c>
      <c r="I85" s="49">
        <f>IFERROR(IF((E85+G85)=0,"—",(IFERROR(F85*E85,0)+IFERROR(H85*G85,0))/(E85+G85)),"—")</f>
        <v/>
      </c>
      <c r="J85" s="49">
        <f>IFERROR(MAX(IFERROR(MAXIFS(Assignments!$L$5:$L$124,Assignments!$D$5:$D$124,$B85,Assignments!$E$5:$E$124,$D85),0),IFERROR(MAXIFS(Quizzes!$J$5:$J$124,Quizzes!$C$5:$C$124,$B85,Quizzes!$D$5:$D$124,$D85),0)),"—")</f>
        <v/>
      </c>
      <c r="K85" s="49">
        <f>IFERROR(IF((E85+G85)=0,"—",MIN(IF(E85&gt;0,MINIFS(Assignments!$L$5:$L$124,Assignments!$D$5:$D$124,$B85,Assignments!$E$5:$E$124,$D85),9),IF(G85&gt;0,MINIFS(Quizzes!$J$5:$J$124,Quizzes!$C$5:$C$124,$B85,Quizzes!$D$5:$D$124,$D85),9))),"—")</f>
        <v/>
      </c>
      <c r="M85" s="53">
        <f>IF((E85+G85)=0,50,(1-IFERROR(I85,0))*100*MIN(1,(E85+G85)/3))</f>
        <v/>
      </c>
    </row>
    <row r="86">
      <c r="B86" s="54" t="inlineStr">
        <is>
          <t>Unit 2</t>
        </is>
      </c>
      <c r="C86" s="8" t="inlineStr">
        <is>
          <t>4. Geometry &amp; Trigonometry</t>
        </is>
      </c>
      <c r="D86" s="8" t="inlineStr">
        <is>
          <t>Volume - Prisms &amp; Cylinders (Foundation)</t>
        </is>
      </c>
      <c r="E86" s="17">
        <f>COUNTIFS(Assignments!$D$5:$D$124,$B86,Assignments!$E$5:$E$124,$D86)</f>
        <v/>
      </c>
      <c r="F86" s="48">
        <f>IFERROR(AVERAGEIFS(Assignments!$L$5:$L$124,Assignments!$D$5:$D$124,$B86,Assignments!$E$5:$E$124,$D86),"—")</f>
        <v/>
      </c>
      <c r="G86" s="17">
        <f>COUNTIFS(Quizzes!$C$5:$C$124,$B86,Quizzes!$D$5:$D$124,$D86)</f>
        <v/>
      </c>
      <c r="H86" s="48">
        <f>IFERROR(AVERAGEIFS(Quizzes!$J$5:$J$124,Quizzes!$C$5:$C$124,$B86,Quizzes!$D$5:$D$124,$D86),"—")</f>
        <v/>
      </c>
      <c r="I86" s="48">
        <f>IFERROR(IF((E86+G86)=0,"—",(IFERROR(F86*E86,0)+IFERROR(H86*G86,0))/(E86+G86)),"—")</f>
        <v/>
      </c>
      <c r="J86" s="48">
        <f>IFERROR(MAX(IFERROR(MAXIFS(Assignments!$L$5:$L$124,Assignments!$D$5:$D$124,$B86,Assignments!$E$5:$E$124,$D86),0),IFERROR(MAXIFS(Quizzes!$J$5:$J$124,Quizzes!$C$5:$C$124,$B86,Quizzes!$D$5:$D$124,$D86),0)),"—")</f>
        <v/>
      </c>
      <c r="K86" s="48">
        <f>IFERROR(IF((E86+G86)=0,"—",MIN(IF(E86&gt;0,MINIFS(Assignments!$L$5:$L$124,Assignments!$D$5:$D$124,$B86,Assignments!$E$5:$E$124,$D86),9),IF(G86&gt;0,MINIFS(Quizzes!$J$5:$J$124,Quizzes!$C$5:$C$124,$B86,Quizzes!$D$5:$D$124,$D86),9))),"—")</f>
        <v/>
      </c>
      <c r="M86" s="52">
        <f>IF((E86+G86)=0,50,(1-IFERROR(I86,0))*100*MIN(1,(E86+G86)/3))</f>
        <v/>
      </c>
    </row>
    <row r="87">
      <c r="B87" s="54" t="inlineStr">
        <is>
          <t>Unit 2</t>
        </is>
      </c>
      <c r="C87" s="10" t="inlineStr">
        <is>
          <t>4. Geometry &amp; Trigonometry</t>
        </is>
      </c>
      <c r="D87" s="10" t="inlineStr">
        <is>
          <t>Volume - Sphere &amp; Cone (Higher)</t>
        </is>
      </c>
      <c r="E87" s="23">
        <f>COUNTIFS(Assignments!$D$5:$D$124,$B87,Assignments!$E$5:$E$124,$D87)</f>
        <v/>
      </c>
      <c r="F87" s="49">
        <f>IFERROR(AVERAGEIFS(Assignments!$L$5:$L$124,Assignments!$D$5:$D$124,$B87,Assignments!$E$5:$E$124,$D87),"—")</f>
        <v/>
      </c>
      <c r="G87" s="23">
        <f>COUNTIFS(Quizzes!$C$5:$C$124,$B87,Quizzes!$D$5:$D$124,$D87)</f>
        <v/>
      </c>
      <c r="H87" s="49">
        <f>IFERROR(AVERAGEIFS(Quizzes!$J$5:$J$124,Quizzes!$C$5:$C$124,$B87,Quizzes!$D$5:$D$124,$D87),"—")</f>
        <v/>
      </c>
      <c r="I87" s="49">
        <f>IFERROR(IF((E87+G87)=0,"—",(IFERROR(F87*E87,0)+IFERROR(H87*G87,0))/(E87+G87)),"—")</f>
        <v/>
      </c>
      <c r="J87" s="49">
        <f>IFERROR(MAX(IFERROR(MAXIFS(Assignments!$L$5:$L$124,Assignments!$D$5:$D$124,$B87,Assignments!$E$5:$E$124,$D87),0),IFERROR(MAXIFS(Quizzes!$J$5:$J$124,Quizzes!$C$5:$C$124,$B87,Quizzes!$D$5:$D$124,$D87),0)),"—")</f>
        <v/>
      </c>
      <c r="K87" s="49">
        <f>IFERROR(IF((E87+G87)=0,"—",MIN(IF(E87&gt;0,MINIFS(Assignments!$L$5:$L$124,Assignments!$D$5:$D$124,$B87,Assignments!$E$5:$E$124,$D87),9),IF(G87&gt;0,MINIFS(Quizzes!$J$5:$J$124,Quizzes!$C$5:$C$124,$B87,Quizzes!$D$5:$D$124,$D87),9))),"—")</f>
        <v/>
      </c>
      <c r="M87" s="53">
        <f>IF((E87+G87)=0,50,(1-IFERROR(I87,0))*100*MIN(1,(E87+G87)/3))</f>
        <v/>
      </c>
    </row>
    <row r="88">
      <c r="B88" s="54" t="inlineStr">
        <is>
          <t>Unit 2</t>
        </is>
      </c>
      <c r="C88" s="8" t="inlineStr">
        <is>
          <t>4. Geometry &amp; Trigonometry</t>
        </is>
      </c>
      <c r="D88" s="8" t="inlineStr">
        <is>
          <t>Similarity &amp; Scale Drawings (Foundation)</t>
        </is>
      </c>
      <c r="E88" s="17">
        <f>COUNTIFS(Assignments!$D$5:$D$124,$B88,Assignments!$E$5:$E$124,$D88)</f>
        <v/>
      </c>
      <c r="F88" s="48">
        <f>IFERROR(AVERAGEIFS(Assignments!$L$5:$L$124,Assignments!$D$5:$D$124,$B88,Assignments!$E$5:$E$124,$D88),"—")</f>
        <v/>
      </c>
      <c r="G88" s="17">
        <f>COUNTIFS(Quizzes!$C$5:$C$124,$B88,Quizzes!$D$5:$D$124,$D88)</f>
        <v/>
      </c>
      <c r="H88" s="48">
        <f>IFERROR(AVERAGEIFS(Quizzes!$J$5:$J$124,Quizzes!$C$5:$C$124,$B88,Quizzes!$D$5:$D$124,$D88),"—")</f>
        <v/>
      </c>
      <c r="I88" s="48">
        <f>IFERROR(IF((E88+G88)=0,"—",(IFERROR(F88*E88,0)+IFERROR(H88*G88,0))/(E88+G88)),"—")</f>
        <v/>
      </c>
      <c r="J88" s="48">
        <f>IFERROR(MAX(IFERROR(MAXIFS(Assignments!$L$5:$L$124,Assignments!$D$5:$D$124,$B88,Assignments!$E$5:$E$124,$D88),0),IFERROR(MAXIFS(Quizzes!$J$5:$J$124,Quizzes!$C$5:$C$124,$B88,Quizzes!$D$5:$D$124,$D88),0)),"—")</f>
        <v/>
      </c>
      <c r="K88" s="48">
        <f>IFERROR(IF((E88+G88)=0,"—",MIN(IF(E88&gt;0,MINIFS(Assignments!$L$5:$L$124,Assignments!$D$5:$D$124,$B88,Assignments!$E$5:$E$124,$D88),9),IF(G88&gt;0,MINIFS(Quizzes!$J$5:$J$124,Quizzes!$C$5:$C$124,$B88,Quizzes!$D$5:$D$124,$D88),9))),"—")</f>
        <v/>
      </c>
      <c r="M88" s="52">
        <f>IF((E88+G88)=0,50,(1-IFERROR(I88,0))*100*MIN(1,(E88+G88)/3))</f>
        <v/>
      </c>
    </row>
    <row r="89">
      <c r="B89" s="54" t="inlineStr">
        <is>
          <t>Unit 2</t>
        </is>
      </c>
      <c r="C89" s="10" t="inlineStr">
        <is>
          <t>4. Geometry &amp; Trigonometry</t>
        </is>
      </c>
      <c r="D89" s="10" t="inlineStr">
        <is>
          <t>Similar Area &amp; Volume (Foundation/Higher)</t>
        </is>
      </c>
      <c r="E89" s="23">
        <f>COUNTIFS(Assignments!$D$5:$D$124,$B89,Assignments!$E$5:$E$124,$D89)</f>
        <v/>
      </c>
      <c r="F89" s="49">
        <f>IFERROR(AVERAGEIFS(Assignments!$L$5:$L$124,Assignments!$D$5:$D$124,$B89,Assignments!$E$5:$E$124,$D89),"—")</f>
        <v/>
      </c>
      <c r="G89" s="23">
        <f>COUNTIFS(Quizzes!$C$5:$C$124,$B89,Quizzes!$D$5:$D$124,$D89)</f>
        <v/>
      </c>
      <c r="H89" s="49">
        <f>IFERROR(AVERAGEIFS(Quizzes!$J$5:$J$124,Quizzes!$C$5:$C$124,$B89,Quizzes!$D$5:$D$124,$D89),"—")</f>
        <v/>
      </c>
      <c r="I89" s="49">
        <f>IFERROR(IF((E89+G89)=0,"—",(IFERROR(F89*E89,0)+IFERROR(H89*G89,0))/(E89+G89)),"—")</f>
        <v/>
      </c>
      <c r="J89" s="49">
        <f>IFERROR(MAX(IFERROR(MAXIFS(Assignments!$L$5:$L$124,Assignments!$D$5:$D$124,$B89,Assignments!$E$5:$E$124,$D89),0),IFERROR(MAXIFS(Quizzes!$J$5:$J$124,Quizzes!$C$5:$C$124,$B89,Quizzes!$D$5:$D$124,$D89),0)),"—")</f>
        <v/>
      </c>
      <c r="K89" s="49">
        <f>IFERROR(IF((E89+G89)=0,"—",MIN(IF(E89&gt;0,MINIFS(Assignments!$L$5:$L$124,Assignments!$D$5:$D$124,$B89,Assignments!$E$5:$E$124,$D89),9),IF(G89&gt;0,MINIFS(Quizzes!$J$5:$J$124,Quizzes!$C$5:$C$124,$B89,Quizzes!$D$5:$D$124,$D89),9))),"—")</f>
        <v/>
      </c>
      <c r="M89" s="53">
        <f>IF((E89+G89)=0,50,(1-IFERROR(I89,0))*100*MIN(1,(E89+G89)/3))</f>
        <v/>
      </c>
    </row>
    <row r="90">
      <c r="B90" s="54" t="inlineStr">
        <is>
          <t>Unit 2</t>
        </is>
      </c>
      <c r="C90" s="8" t="inlineStr">
        <is>
          <t>4. Geometry &amp; Trigonometry</t>
        </is>
      </c>
      <c r="D90" s="8" t="inlineStr">
        <is>
          <t>Circle Properties - Chord &amp; Tangent (Foundation)</t>
        </is>
      </c>
      <c r="E90" s="17">
        <f>COUNTIFS(Assignments!$D$5:$D$124,$B90,Assignments!$E$5:$E$124,$D90)</f>
        <v/>
      </c>
      <c r="F90" s="48">
        <f>IFERROR(AVERAGEIFS(Assignments!$L$5:$L$124,Assignments!$D$5:$D$124,$B90,Assignments!$E$5:$E$124,$D90),"—")</f>
        <v/>
      </c>
      <c r="G90" s="17">
        <f>COUNTIFS(Quizzes!$C$5:$C$124,$B90,Quizzes!$D$5:$D$124,$D90)</f>
        <v/>
      </c>
      <c r="H90" s="48">
        <f>IFERROR(AVERAGEIFS(Quizzes!$J$5:$J$124,Quizzes!$C$5:$C$124,$B90,Quizzes!$D$5:$D$124,$D90),"—")</f>
        <v/>
      </c>
      <c r="I90" s="48">
        <f>IFERROR(IF((E90+G90)=0,"—",(IFERROR(F90*E90,0)+IFERROR(H90*G90,0))/(E90+G90)),"—")</f>
        <v/>
      </c>
      <c r="J90" s="48">
        <f>IFERROR(MAX(IFERROR(MAXIFS(Assignments!$L$5:$L$124,Assignments!$D$5:$D$124,$B90,Assignments!$E$5:$E$124,$D90),0),IFERROR(MAXIFS(Quizzes!$J$5:$J$124,Quizzes!$C$5:$C$124,$B90,Quizzes!$D$5:$D$124,$D90),0)),"—")</f>
        <v/>
      </c>
      <c r="K90" s="48">
        <f>IFERROR(IF((E90+G90)=0,"—",MIN(IF(E90&gt;0,MINIFS(Assignments!$L$5:$L$124,Assignments!$D$5:$D$124,$B90,Assignments!$E$5:$E$124,$D90),9),IF(G90&gt;0,MINIFS(Quizzes!$J$5:$J$124,Quizzes!$C$5:$C$124,$B90,Quizzes!$D$5:$D$124,$D90),9))),"—")</f>
        <v/>
      </c>
      <c r="M90" s="52">
        <f>IF((E90+G90)=0,50,(1-IFERROR(I90,0))*100*MIN(1,(E90+G90)/3))</f>
        <v/>
      </c>
    </row>
    <row r="91">
      <c r="B91" s="54" t="inlineStr">
        <is>
          <t>Unit 2</t>
        </is>
      </c>
      <c r="C91" s="10" t="inlineStr">
        <is>
          <t>4. Geometry &amp; Trigonometry</t>
        </is>
      </c>
      <c r="D91" s="10" t="inlineStr">
        <is>
          <t>Circle Theorems - Full Set (Higher)</t>
        </is>
      </c>
      <c r="E91" s="23">
        <f>COUNTIFS(Assignments!$D$5:$D$124,$B91,Assignments!$E$5:$E$124,$D91)</f>
        <v/>
      </c>
      <c r="F91" s="49">
        <f>IFERROR(AVERAGEIFS(Assignments!$L$5:$L$124,Assignments!$D$5:$D$124,$B91,Assignments!$E$5:$E$124,$D91),"—")</f>
        <v/>
      </c>
      <c r="G91" s="23">
        <f>COUNTIFS(Quizzes!$C$5:$C$124,$B91,Quizzes!$D$5:$D$124,$D91)</f>
        <v/>
      </c>
      <c r="H91" s="49">
        <f>IFERROR(AVERAGEIFS(Quizzes!$J$5:$J$124,Quizzes!$C$5:$C$124,$B91,Quizzes!$D$5:$D$124,$D91),"—")</f>
        <v/>
      </c>
      <c r="I91" s="49">
        <f>IFERROR(IF((E91+G91)=0,"—",(IFERROR(F91*E91,0)+IFERROR(H91*G91,0))/(E91+G91)),"—")</f>
        <v/>
      </c>
      <c r="J91" s="49">
        <f>IFERROR(MAX(IFERROR(MAXIFS(Assignments!$L$5:$L$124,Assignments!$D$5:$D$124,$B91,Assignments!$E$5:$E$124,$D91),0),IFERROR(MAXIFS(Quizzes!$J$5:$J$124,Quizzes!$C$5:$C$124,$B91,Quizzes!$D$5:$D$124,$D91),0)),"—")</f>
        <v/>
      </c>
      <c r="K91" s="49">
        <f>IFERROR(IF((E91+G91)=0,"—",MIN(IF(E91&gt;0,MINIFS(Assignments!$L$5:$L$124,Assignments!$D$5:$D$124,$B91,Assignments!$E$5:$E$124,$D91),9),IF(G91&gt;0,MINIFS(Quizzes!$J$5:$J$124,Quizzes!$C$5:$C$124,$B91,Quizzes!$D$5:$D$124,$D91),9))),"—")</f>
        <v/>
      </c>
      <c r="M91" s="53">
        <f>IF((E91+G91)=0,50,(1-IFERROR(I91,0))*100*MIN(1,(E91+G91)/3))</f>
        <v/>
      </c>
    </row>
    <row r="92">
      <c r="B92" s="54" t="inlineStr">
        <is>
          <t>Unit 2</t>
        </is>
      </c>
      <c r="C92" s="8" t="inlineStr">
        <is>
          <t>4. Geometry &amp; Trigonometry</t>
        </is>
      </c>
      <c r="D92" s="8" t="inlineStr">
        <is>
          <t>Internal/External Intersecting Chords (Higher)</t>
        </is>
      </c>
      <c r="E92" s="17">
        <f>COUNTIFS(Assignments!$D$5:$D$124,$B92,Assignments!$E$5:$E$124,$D92)</f>
        <v/>
      </c>
      <c r="F92" s="48">
        <f>IFERROR(AVERAGEIFS(Assignments!$L$5:$L$124,Assignments!$D$5:$D$124,$B92,Assignments!$E$5:$E$124,$D92),"—")</f>
        <v/>
      </c>
      <c r="G92" s="17">
        <f>COUNTIFS(Quizzes!$C$5:$C$124,$B92,Quizzes!$D$5:$D$124,$D92)</f>
        <v/>
      </c>
      <c r="H92" s="48">
        <f>IFERROR(AVERAGEIFS(Quizzes!$J$5:$J$124,Quizzes!$C$5:$C$124,$B92,Quizzes!$D$5:$D$124,$D92),"—")</f>
        <v/>
      </c>
      <c r="I92" s="48">
        <f>IFERROR(IF((E92+G92)=0,"—",(IFERROR(F92*E92,0)+IFERROR(H92*G92,0))/(E92+G92)),"—")</f>
        <v/>
      </c>
      <c r="J92" s="48">
        <f>IFERROR(MAX(IFERROR(MAXIFS(Assignments!$L$5:$L$124,Assignments!$D$5:$D$124,$B92,Assignments!$E$5:$E$124,$D92),0),IFERROR(MAXIFS(Quizzes!$J$5:$J$124,Quizzes!$C$5:$C$124,$B92,Quizzes!$D$5:$D$124,$D92),0)),"—")</f>
        <v/>
      </c>
      <c r="K92" s="48">
        <f>IFERROR(IF((E92+G92)=0,"—",MIN(IF(E92&gt;0,MINIFS(Assignments!$L$5:$L$124,Assignments!$D$5:$D$124,$B92,Assignments!$E$5:$E$124,$D92),9),IF(G92&gt;0,MINIFS(Quizzes!$J$5:$J$124,Quizzes!$C$5:$C$124,$B92,Quizzes!$D$5:$D$124,$D92),9))),"—")</f>
        <v/>
      </c>
      <c r="M92" s="52">
        <f>IF((E92+G92)=0,50,(1-IFERROR(I92,0))*100*MIN(1,(E92+G92)/3))</f>
        <v/>
      </c>
    </row>
    <row r="93">
      <c r="B93" s="54" t="inlineStr">
        <is>
          <t>Unit 2</t>
        </is>
      </c>
      <c r="C93" s="10" t="inlineStr">
        <is>
          <t>5. Vectors &amp; Transformation Geometry</t>
        </is>
      </c>
      <c r="D93" s="10" t="inlineStr">
        <is>
          <t>Transformations - Rot/Refl/Trans/Enl (Foundation)</t>
        </is>
      </c>
      <c r="E93" s="23">
        <f>COUNTIFS(Assignments!$D$5:$D$124,$B93,Assignments!$E$5:$E$124,$D93)</f>
        <v/>
      </c>
      <c r="F93" s="49">
        <f>IFERROR(AVERAGEIFS(Assignments!$L$5:$L$124,Assignments!$D$5:$D$124,$B93,Assignments!$E$5:$E$124,$D93),"—")</f>
        <v/>
      </c>
      <c r="G93" s="23">
        <f>COUNTIFS(Quizzes!$C$5:$C$124,$B93,Quizzes!$D$5:$D$124,$D93)</f>
        <v/>
      </c>
      <c r="H93" s="49">
        <f>IFERROR(AVERAGEIFS(Quizzes!$J$5:$J$124,Quizzes!$C$5:$C$124,$B93,Quizzes!$D$5:$D$124,$D93),"—")</f>
        <v/>
      </c>
      <c r="I93" s="49">
        <f>IFERROR(IF((E93+G93)=0,"—",(IFERROR(F93*E93,0)+IFERROR(H93*G93,0))/(E93+G93)),"—")</f>
        <v/>
      </c>
      <c r="J93" s="49">
        <f>IFERROR(MAX(IFERROR(MAXIFS(Assignments!$L$5:$L$124,Assignments!$D$5:$D$124,$B93,Assignments!$E$5:$E$124,$D93),0),IFERROR(MAXIFS(Quizzes!$J$5:$J$124,Quizzes!$C$5:$C$124,$B93,Quizzes!$D$5:$D$124,$D93),0)),"—")</f>
        <v/>
      </c>
      <c r="K93" s="49">
        <f>IFERROR(IF((E93+G93)=0,"—",MIN(IF(E93&gt;0,MINIFS(Assignments!$L$5:$L$124,Assignments!$D$5:$D$124,$B93,Assignments!$E$5:$E$124,$D93),9),IF(G93&gt;0,MINIFS(Quizzes!$J$5:$J$124,Quizzes!$C$5:$C$124,$B93,Quizzes!$D$5:$D$124,$D93),9))),"—")</f>
        <v/>
      </c>
      <c r="M93" s="53">
        <f>IF((E93+G93)=0,50,(1-IFERROR(I93,0))*100*MIN(1,(E93+G93)/3))</f>
        <v/>
      </c>
    </row>
    <row r="94">
      <c r="B94" s="54" t="inlineStr">
        <is>
          <t>Unit 2</t>
        </is>
      </c>
      <c r="C94" s="8" t="inlineStr">
        <is>
          <t>5. Vectors &amp; Transformation Geometry</t>
        </is>
      </c>
      <c r="D94" s="8" t="inlineStr">
        <is>
          <t>Vectors - Notation &amp; Operations (Higher)</t>
        </is>
      </c>
      <c r="E94" s="17">
        <f>COUNTIFS(Assignments!$D$5:$D$124,$B94,Assignments!$E$5:$E$124,$D94)</f>
        <v/>
      </c>
      <c r="F94" s="48">
        <f>IFERROR(AVERAGEIFS(Assignments!$L$5:$L$124,Assignments!$D$5:$D$124,$B94,Assignments!$E$5:$E$124,$D94),"—")</f>
        <v/>
      </c>
      <c r="G94" s="17">
        <f>COUNTIFS(Quizzes!$C$5:$C$124,$B94,Quizzes!$D$5:$D$124,$D94)</f>
        <v/>
      </c>
      <c r="H94" s="48">
        <f>IFERROR(AVERAGEIFS(Quizzes!$J$5:$J$124,Quizzes!$C$5:$C$124,$B94,Quizzes!$D$5:$D$124,$D94),"—")</f>
        <v/>
      </c>
      <c r="I94" s="48">
        <f>IFERROR(IF((E94+G94)=0,"—",(IFERROR(F94*E94,0)+IFERROR(H94*G94,0))/(E94+G94)),"—")</f>
        <v/>
      </c>
      <c r="J94" s="48">
        <f>IFERROR(MAX(IFERROR(MAXIFS(Assignments!$L$5:$L$124,Assignments!$D$5:$D$124,$B94,Assignments!$E$5:$E$124,$D94),0),IFERROR(MAXIFS(Quizzes!$J$5:$J$124,Quizzes!$C$5:$C$124,$B94,Quizzes!$D$5:$D$124,$D94),0)),"—")</f>
        <v/>
      </c>
      <c r="K94" s="48">
        <f>IFERROR(IF((E94+G94)=0,"—",MIN(IF(E94&gt;0,MINIFS(Assignments!$L$5:$L$124,Assignments!$D$5:$D$124,$B94,Assignments!$E$5:$E$124,$D94),9),IF(G94&gt;0,MINIFS(Quizzes!$J$5:$J$124,Quizzes!$C$5:$C$124,$B94,Quizzes!$D$5:$D$124,$D94),9))),"—")</f>
        <v/>
      </c>
      <c r="M94" s="52">
        <f>IF((E94+G94)=0,50,(1-IFERROR(I94,0))*100*MIN(1,(E94+G94)/3))</f>
        <v/>
      </c>
    </row>
    <row r="95">
      <c r="B95" s="54" t="inlineStr">
        <is>
          <t>Unit 2</t>
        </is>
      </c>
      <c r="C95" s="10" t="inlineStr">
        <is>
          <t>5. Vectors &amp; Transformation Geometry</t>
        </is>
      </c>
      <c r="D95" s="10" t="inlineStr">
        <is>
          <t>Vectors - Magnitude &amp; Resultant (Higher)</t>
        </is>
      </c>
      <c r="E95" s="23">
        <f>COUNTIFS(Assignments!$D$5:$D$124,$B95,Assignments!$E$5:$E$124,$D95)</f>
        <v/>
      </c>
      <c r="F95" s="49">
        <f>IFERROR(AVERAGEIFS(Assignments!$L$5:$L$124,Assignments!$D$5:$D$124,$B95,Assignments!$E$5:$E$124,$D95),"—")</f>
        <v/>
      </c>
      <c r="G95" s="23">
        <f>COUNTIFS(Quizzes!$C$5:$C$124,$B95,Quizzes!$D$5:$D$124,$D95)</f>
        <v/>
      </c>
      <c r="H95" s="49">
        <f>IFERROR(AVERAGEIFS(Quizzes!$J$5:$J$124,Quizzes!$C$5:$C$124,$B95,Quizzes!$D$5:$D$124,$D95),"—")</f>
        <v/>
      </c>
      <c r="I95" s="49">
        <f>IFERROR(IF((E95+G95)=0,"—",(IFERROR(F95*E95,0)+IFERROR(H95*G95,0))/(E95+G95)),"—")</f>
        <v/>
      </c>
      <c r="J95" s="49">
        <f>IFERROR(MAX(IFERROR(MAXIFS(Assignments!$L$5:$L$124,Assignments!$D$5:$D$124,$B95,Assignments!$E$5:$E$124,$D95),0),IFERROR(MAXIFS(Quizzes!$J$5:$J$124,Quizzes!$C$5:$C$124,$B95,Quizzes!$D$5:$D$124,$D95),0)),"—")</f>
        <v/>
      </c>
      <c r="K95" s="49">
        <f>IFERROR(IF((E95+G95)=0,"—",MIN(IF(E95&gt;0,MINIFS(Assignments!$L$5:$L$124,Assignments!$D$5:$D$124,$B95,Assignments!$E$5:$E$124,$D95),9),IF(G95&gt;0,MINIFS(Quizzes!$J$5:$J$124,Quizzes!$C$5:$C$124,$B95,Quizzes!$D$5:$D$124,$D95),9))),"—")</f>
        <v/>
      </c>
      <c r="M95" s="53">
        <f>IF((E95+G95)=0,50,(1-IFERROR(I95,0))*100*MIN(1,(E95+G95)/3))</f>
        <v/>
      </c>
    </row>
    <row r="96">
      <c r="B96" s="54" t="inlineStr">
        <is>
          <t>Unit 2</t>
        </is>
      </c>
      <c r="C96" s="8" t="inlineStr">
        <is>
          <t>5. Vectors &amp; Transformation Geometry</t>
        </is>
      </c>
      <c r="D96" s="8" t="inlineStr">
        <is>
          <t>Vectors - Geometrical Proof (Higher)</t>
        </is>
      </c>
      <c r="E96" s="17">
        <f>COUNTIFS(Assignments!$D$5:$D$124,$B96,Assignments!$E$5:$E$124,$D96)</f>
        <v/>
      </c>
      <c r="F96" s="48">
        <f>IFERROR(AVERAGEIFS(Assignments!$L$5:$L$124,Assignments!$D$5:$D$124,$B96,Assignments!$E$5:$E$124,$D96),"—")</f>
        <v/>
      </c>
      <c r="G96" s="17">
        <f>COUNTIFS(Quizzes!$C$5:$C$124,$B96,Quizzes!$D$5:$D$124,$D96)</f>
        <v/>
      </c>
      <c r="H96" s="48">
        <f>IFERROR(AVERAGEIFS(Quizzes!$J$5:$J$124,Quizzes!$C$5:$C$124,$B96,Quizzes!$D$5:$D$124,$D96),"—")</f>
        <v/>
      </c>
      <c r="I96" s="48">
        <f>IFERROR(IF((E96+G96)=0,"—",(IFERROR(F96*E96,0)+IFERROR(H96*G96,0))/(E96+G96)),"—")</f>
        <v/>
      </c>
      <c r="J96" s="48">
        <f>IFERROR(MAX(IFERROR(MAXIFS(Assignments!$L$5:$L$124,Assignments!$D$5:$D$124,$B96,Assignments!$E$5:$E$124,$D96),0),IFERROR(MAXIFS(Quizzes!$J$5:$J$124,Quizzes!$C$5:$C$124,$B96,Quizzes!$D$5:$D$124,$D96),0)),"—")</f>
        <v/>
      </c>
      <c r="K96" s="48">
        <f>IFERROR(IF((E96+G96)=0,"—",MIN(IF(E96&gt;0,MINIFS(Assignments!$L$5:$L$124,Assignments!$D$5:$D$124,$B96,Assignments!$E$5:$E$124,$D96),9),IF(G96&gt;0,MINIFS(Quizzes!$J$5:$J$124,Quizzes!$C$5:$C$124,$B96,Quizzes!$D$5:$D$124,$D96),9))),"—")</f>
        <v/>
      </c>
      <c r="M96" s="52">
        <f>IF((E96+G96)=0,50,(1-IFERROR(I96,0))*100*MIN(1,(E96+G96)/3))</f>
        <v/>
      </c>
    </row>
    <row r="97">
      <c r="B97" s="54" t="inlineStr">
        <is>
          <t>Unit 2</t>
        </is>
      </c>
      <c r="C97" s="10" t="inlineStr">
        <is>
          <t>6. Statistics &amp; Probability</t>
        </is>
      </c>
      <c r="D97" s="10" t="inlineStr">
        <is>
          <t>Statistical Measures (Foundation)</t>
        </is>
      </c>
      <c r="E97" s="23">
        <f>COUNTIFS(Assignments!$D$5:$D$124,$B97,Assignments!$E$5:$E$124,$D97)</f>
        <v/>
      </c>
      <c r="F97" s="49">
        <f>IFERROR(AVERAGEIFS(Assignments!$L$5:$L$124,Assignments!$D$5:$D$124,$B97,Assignments!$E$5:$E$124,$D97),"—")</f>
        <v/>
      </c>
      <c r="G97" s="23">
        <f>COUNTIFS(Quizzes!$C$5:$C$124,$B97,Quizzes!$D$5:$D$124,$D97)</f>
        <v/>
      </c>
      <c r="H97" s="49">
        <f>IFERROR(AVERAGEIFS(Quizzes!$J$5:$J$124,Quizzes!$C$5:$C$124,$B97,Quizzes!$D$5:$D$124,$D97),"—")</f>
        <v/>
      </c>
      <c r="I97" s="49">
        <f>IFERROR(IF((E97+G97)=0,"—",(IFERROR(F97*E97,0)+IFERROR(H97*G97,0))/(E97+G97)),"—")</f>
        <v/>
      </c>
      <c r="J97" s="49">
        <f>IFERROR(MAX(IFERROR(MAXIFS(Assignments!$L$5:$L$124,Assignments!$D$5:$D$124,$B97,Assignments!$E$5:$E$124,$D97),0),IFERROR(MAXIFS(Quizzes!$J$5:$J$124,Quizzes!$C$5:$C$124,$B97,Quizzes!$D$5:$D$124,$D97),0)),"—")</f>
        <v/>
      </c>
      <c r="K97" s="49">
        <f>IFERROR(IF((E97+G97)=0,"—",MIN(IF(E97&gt;0,MINIFS(Assignments!$L$5:$L$124,Assignments!$D$5:$D$124,$B97,Assignments!$E$5:$E$124,$D97),9),IF(G97&gt;0,MINIFS(Quizzes!$J$5:$J$124,Quizzes!$C$5:$C$124,$B97,Quizzes!$D$5:$D$124,$D97),9))),"—")</f>
        <v/>
      </c>
      <c r="M97" s="53">
        <f>IF((E97+G97)=0,50,(1-IFERROR(I97,0))*100*MIN(1,(E97+G97)/3))</f>
        <v/>
      </c>
    </row>
    <row r="98">
      <c r="B98" s="54" t="inlineStr">
        <is>
          <t>Unit 2</t>
        </is>
      </c>
      <c r="C98" s="8" t="inlineStr">
        <is>
          <t>6. Statistics &amp; Probability</t>
        </is>
      </c>
      <c r="D98" s="8" t="inlineStr">
        <is>
          <t>Cumulative Frequency Diagrams (Foundation/Higher)</t>
        </is>
      </c>
      <c r="E98" s="17">
        <f>COUNTIFS(Assignments!$D$5:$D$124,$B98,Assignments!$E$5:$E$124,$D98)</f>
        <v/>
      </c>
      <c r="F98" s="48">
        <f>IFERROR(AVERAGEIFS(Assignments!$L$5:$L$124,Assignments!$D$5:$D$124,$B98,Assignments!$E$5:$E$124,$D98),"—")</f>
        <v/>
      </c>
      <c r="G98" s="17">
        <f>COUNTIFS(Quizzes!$C$5:$C$124,$B98,Quizzes!$D$5:$D$124,$D98)</f>
        <v/>
      </c>
      <c r="H98" s="48">
        <f>IFERROR(AVERAGEIFS(Quizzes!$J$5:$J$124,Quizzes!$C$5:$C$124,$B98,Quizzes!$D$5:$D$124,$D98),"—")</f>
        <v/>
      </c>
      <c r="I98" s="48">
        <f>IFERROR(IF((E98+G98)=0,"—",(IFERROR(F98*E98,0)+IFERROR(H98*G98,0))/(E98+G98)),"—")</f>
        <v/>
      </c>
      <c r="J98" s="48">
        <f>IFERROR(MAX(IFERROR(MAXIFS(Assignments!$L$5:$L$124,Assignments!$D$5:$D$124,$B98,Assignments!$E$5:$E$124,$D98),0),IFERROR(MAXIFS(Quizzes!$J$5:$J$124,Quizzes!$C$5:$C$124,$B98,Quizzes!$D$5:$D$124,$D98),0)),"—")</f>
        <v/>
      </c>
      <c r="K98" s="48">
        <f>IFERROR(IF((E98+G98)=0,"—",MIN(IF(E98&gt;0,MINIFS(Assignments!$L$5:$L$124,Assignments!$D$5:$D$124,$B98,Assignments!$E$5:$E$124,$D98),9),IF(G98&gt;0,MINIFS(Quizzes!$J$5:$J$124,Quizzes!$C$5:$C$124,$B98,Quizzes!$D$5:$D$124,$D98),9))),"—")</f>
        <v/>
      </c>
      <c r="M98" s="52">
        <f>IF((E98+G98)=0,50,(1-IFERROR(I98,0))*100*MIN(1,(E98+G98)/3))</f>
        <v/>
      </c>
    </row>
    <row r="99">
      <c r="B99" s="54" t="inlineStr">
        <is>
          <t>Unit 2</t>
        </is>
      </c>
      <c r="C99" s="10" t="inlineStr">
        <is>
          <t>6. Statistics &amp; Probability</t>
        </is>
      </c>
      <c r="D99" s="10" t="inlineStr">
        <is>
          <t>Median &amp; IQR from CF (Higher)</t>
        </is>
      </c>
      <c r="E99" s="23">
        <f>COUNTIFS(Assignments!$D$5:$D$124,$B99,Assignments!$E$5:$E$124,$D99)</f>
        <v/>
      </c>
      <c r="F99" s="49">
        <f>IFERROR(AVERAGEIFS(Assignments!$L$5:$L$124,Assignments!$D$5:$D$124,$B99,Assignments!$E$5:$E$124,$D99),"—")</f>
        <v/>
      </c>
      <c r="G99" s="23">
        <f>COUNTIFS(Quizzes!$C$5:$C$124,$B99,Quizzes!$D$5:$D$124,$D99)</f>
        <v/>
      </c>
      <c r="H99" s="49">
        <f>IFERROR(AVERAGEIFS(Quizzes!$J$5:$J$124,Quizzes!$C$5:$C$124,$B99,Quizzes!$D$5:$D$124,$D99),"—")</f>
        <v/>
      </c>
      <c r="I99" s="49">
        <f>IFERROR(IF((E99+G99)=0,"—",(IFERROR(F99*E99,0)+IFERROR(H99*G99,0))/(E99+G99)),"—")</f>
        <v/>
      </c>
      <c r="J99" s="49">
        <f>IFERROR(MAX(IFERROR(MAXIFS(Assignments!$L$5:$L$124,Assignments!$D$5:$D$124,$B99,Assignments!$E$5:$E$124,$D99),0),IFERROR(MAXIFS(Quizzes!$J$5:$J$124,Quizzes!$C$5:$C$124,$B99,Quizzes!$D$5:$D$124,$D99),0)),"—")</f>
        <v/>
      </c>
      <c r="K99" s="49">
        <f>IFERROR(IF((E99+G99)=0,"—",MIN(IF(E99&gt;0,MINIFS(Assignments!$L$5:$L$124,Assignments!$D$5:$D$124,$B99,Assignments!$E$5:$E$124,$D99),9),IF(G99&gt;0,MINIFS(Quizzes!$J$5:$J$124,Quizzes!$C$5:$C$124,$B99,Quizzes!$D$5:$D$124,$D99),9))),"—")</f>
        <v/>
      </c>
      <c r="M99" s="53">
        <f>IF((E99+G99)=0,50,(1-IFERROR(I99,0))*100*MIN(1,(E99+G99)/3))</f>
        <v/>
      </c>
    </row>
  </sheetData>
  <mergeCells count="2">
    <mergeCell ref="B3:K3"/>
    <mergeCell ref="B2:K2"/>
  </mergeCells>
  <conditionalFormatting sqref="F6:F99">
    <cfRule type="colorScale" priority="1">
      <colorScale>
        <cfvo type="num" val="0"/>
        <cfvo type="num" val="0.6"/>
        <cfvo type="num" val="1"/>
        <color rgb="00F8696B"/>
        <color rgb="00FFEB84"/>
        <color rgb="0063BE7B"/>
      </colorScale>
    </cfRule>
  </conditionalFormatting>
  <conditionalFormatting sqref="H6:H99">
    <cfRule type="colorScale" priority="2">
      <colorScale>
        <cfvo type="num" val="0"/>
        <cfvo type="num" val="0.6"/>
        <cfvo type="num" val="1"/>
        <color rgb="00F8696B"/>
        <color rgb="00FFEB84"/>
        <color rgb="0063BE7B"/>
      </colorScale>
    </cfRule>
  </conditionalFormatting>
  <conditionalFormatting sqref="I6:I99">
    <cfRule type="colorScale" priority="3">
      <colorScale>
        <cfvo type="num" val="0"/>
        <cfvo type="num" val="0.6"/>
        <cfvo type="num" val="1"/>
        <color rgb="00F8696B"/>
        <color rgb="00FFEB84"/>
        <color rgb="0063BE7B"/>
      </colorScale>
    </cfRule>
    <cfRule type="expression" priority="6" dxfId="0">
      <formula>AND(ISNUMBER(I6),I6&lt;0.5)</formula>
    </cfRule>
  </conditionalFormatting>
  <conditionalFormatting sqref="J6:J99">
    <cfRule type="colorScale" priority="4">
      <colorScale>
        <cfvo type="num" val="0"/>
        <cfvo type="num" val="0.6"/>
        <cfvo type="num" val="1"/>
        <color rgb="00F8696B"/>
        <color rgb="00FFEB84"/>
        <color rgb="0063BE7B"/>
      </colorScale>
    </cfRule>
  </conditionalFormatting>
  <conditionalFormatting sqref="K6:K99">
    <cfRule type="colorScale" priority="5">
      <colorScale>
        <cfvo type="num" val="0"/>
        <cfvo type="num" val="0.6"/>
        <cfvo type="num" val="1"/>
        <color rgb="00F8696B"/>
        <color rgb="00FFEB84"/>
        <color rgb="0063BE7B"/>
      </colorScale>
    </cfRule>
  </conditionalFormatting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8B0000"/>
    <outlinePr summaryBelow="1" summaryRight="1"/>
    <pageSetUpPr/>
  </sheetPr>
  <dimension ref="B2:I65"/>
  <sheetViews>
    <sheetView showGridLines="0" workbookViewId="0">
      <pane xSplit="1" ySplit="5" topLeftCell="B6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2" customWidth="1" min="1" max="1"/>
    <col width="8" customWidth="1" min="2" max="2"/>
    <col width="36" customWidth="1" min="3" max="3"/>
    <col width="40" customWidth="1" min="4" max="4"/>
    <col width="12" customWidth="1" min="5" max="5"/>
    <col width="12" customWidth="1" min="6" max="6"/>
    <col width="12" customWidth="1" min="7" max="7"/>
    <col width="18" customWidth="1" min="8" max="8"/>
    <col width="2" customWidth="1" min="9" max="9"/>
  </cols>
  <sheetData>
    <row r="2" ht="30" customHeight="1">
      <c r="B2" s="11" t="inlineStr">
        <is>
          <t>🎯   REVISION PRIORITY — WHAT TO STUDY NEXT</t>
        </is>
      </c>
    </row>
    <row r="3" ht="20" customHeight="1">
      <c r="B3" s="50" t="inlineStr">
        <is>
          <t>Topics ranked by priority — LOW average and HIGH attempt count means you practiced a lot but still weak = top priority</t>
        </is>
      </c>
    </row>
    <row r="5" ht="32" customHeight="1">
      <c r="B5" s="13" t="inlineStr">
        <is>
          <t>Rank</t>
        </is>
      </c>
      <c r="C5" s="13" t="inlineStr">
        <is>
          <t>Unit</t>
        </is>
      </c>
      <c r="D5" s="13" t="inlineStr">
        <is>
          <t>Category</t>
        </is>
      </c>
      <c r="E5" s="13" t="inlineStr">
        <is>
          <t>Topic</t>
        </is>
      </c>
      <c r="F5" s="13" t="inlineStr">
        <is>
          <t>Attempts</t>
        </is>
      </c>
      <c r="G5" s="13" t="inlineStr">
        <is>
          <t>Avg %</t>
        </is>
      </c>
      <c r="H5" s="13" t="inlineStr">
        <is>
          <t>Priority
Score</t>
        </is>
      </c>
      <c r="I5" s="13" t="inlineStr">
        <is>
          <t>Verdict</t>
        </is>
      </c>
    </row>
    <row r="6">
      <c r="B6" s="55" t="n">
        <v>1</v>
      </c>
      <c r="C6" s="16">
        <f>INDEX('Topic Analysis'!$B:$B,MATCH(LARGE('Topic Analysis'!$M$6:$M$99+ROW('Topic Analysis'!$M$6:$M$99)/100000,1),'Topic Analysis'!$M$6:$M$99+ROW('Topic Analysis'!$M$6:$M$99)/100000,0)+5)</f>
        <v/>
      </c>
      <c r="D6" s="8">
        <f>INDEX('Topic Analysis'!$C:$C,MATCH(LARGE('Topic Analysis'!$M$6:$M$99+ROW('Topic Analysis'!$M$6:$M$99)/100000,1),'Topic Analysis'!$M$6:$M$99+ROW('Topic Analysis'!$M$6:$M$99)/100000,0)+5)</f>
        <v/>
      </c>
      <c r="E6" s="8">
        <f>INDEX('Topic Analysis'!$D:$D,MATCH(LARGE('Topic Analysis'!$M$6:$M$99+ROW('Topic Analysis'!$M$6:$M$99)/100000,1),'Topic Analysis'!$M$6:$M$99+ROW('Topic Analysis'!$M$6:$M$99)/100000,0)+5)</f>
        <v/>
      </c>
      <c r="F6" s="16">
        <f>INDEX('Topic Analysis'!$E:$E,MATCH(LARGE('Topic Analysis'!$M$6:$M$99+ROW('Topic Analysis'!$M$6:$M$99)/100000,1),'Topic Analysis'!$M$6:$M$99+ROW('Topic Analysis'!$M$6:$M$99)/100000,0)+5)+INDEX('Topic Analysis'!$G:$G,MATCH(LARGE('Topic Analysis'!$M$6:$M$99+ROW('Topic Analysis'!$M$6:$M$99)/100000,1),'Topic Analysis'!$M$6:$M$99+ROW('Topic Analysis'!$M$6:$M$99)/100000,0)+5)</f>
        <v/>
      </c>
      <c r="G6" s="48">
        <f>IFERROR(INDEX('Topic Analysis'!$I:$I,MATCH(LARGE('Topic Analysis'!$M$6:$M$99+ROW('Topic Analysis'!$M$6:$M$99)/100000,1),'Topic Analysis'!$M$6:$M$99+ROW('Topic Analysis'!$M$6:$M$99)/100000,0)+5),"—")</f>
        <v/>
      </c>
      <c r="H6" s="56">
        <f>INDEX('Topic Analysis'!$M:$M,MATCH(LARGE('Topic Analysis'!$M$6:$M$99+ROW('Topic Analysis'!$M$6:$M$99)/100000,1),'Topic Analysis'!$M$6:$M$99+ROW('Topic Analysis'!$M$6:$M$99)/100000,0)+5)</f>
        <v/>
      </c>
      <c r="I6" s="8">
        <f>IF(H6&gt;=70,"🔴 URGENT — Review Now",IF(H6&gt;=50,"🟡 Needs Work",IF(H6&gt;=30,"🟢 On Track","✅ Mastered")))</f>
        <v/>
      </c>
    </row>
    <row r="7">
      <c r="B7" s="57" t="n">
        <v>2</v>
      </c>
      <c r="C7" s="22">
        <f>INDEX('Topic Analysis'!$B:$B,MATCH(LARGE('Topic Analysis'!$M$6:$M$99+ROW('Topic Analysis'!$M$6:$M$99)/100000,2),'Topic Analysis'!$M$6:$M$99+ROW('Topic Analysis'!$M$6:$M$99)/100000,0)+5)</f>
        <v/>
      </c>
      <c r="D7" s="10">
        <f>INDEX('Topic Analysis'!$C:$C,MATCH(LARGE('Topic Analysis'!$M$6:$M$99+ROW('Topic Analysis'!$M$6:$M$99)/100000,2),'Topic Analysis'!$M$6:$M$99+ROW('Topic Analysis'!$M$6:$M$99)/100000,0)+5)</f>
        <v/>
      </c>
      <c r="E7" s="10">
        <f>INDEX('Topic Analysis'!$D:$D,MATCH(LARGE('Topic Analysis'!$M$6:$M$99+ROW('Topic Analysis'!$M$6:$M$99)/100000,2),'Topic Analysis'!$M$6:$M$99+ROW('Topic Analysis'!$M$6:$M$99)/100000,0)+5)</f>
        <v/>
      </c>
      <c r="F7" s="22">
        <f>INDEX('Topic Analysis'!$E:$E,MATCH(LARGE('Topic Analysis'!$M$6:$M$99+ROW('Topic Analysis'!$M$6:$M$99)/100000,2),'Topic Analysis'!$M$6:$M$99+ROW('Topic Analysis'!$M$6:$M$99)/100000,0)+5)+INDEX('Topic Analysis'!$G:$G,MATCH(LARGE('Topic Analysis'!$M$6:$M$99+ROW('Topic Analysis'!$M$6:$M$99)/100000,2),'Topic Analysis'!$M$6:$M$99+ROW('Topic Analysis'!$M$6:$M$99)/100000,0)+5)</f>
        <v/>
      </c>
      <c r="G7" s="49">
        <f>IFERROR(INDEX('Topic Analysis'!$I:$I,MATCH(LARGE('Topic Analysis'!$M$6:$M$99+ROW('Topic Analysis'!$M$6:$M$99)/100000,2),'Topic Analysis'!$M$6:$M$99+ROW('Topic Analysis'!$M$6:$M$99)/100000,0)+5),"—")</f>
        <v/>
      </c>
      <c r="H7" s="58">
        <f>INDEX('Topic Analysis'!$M:$M,MATCH(LARGE('Topic Analysis'!$M$6:$M$99+ROW('Topic Analysis'!$M$6:$M$99)/100000,2),'Topic Analysis'!$M$6:$M$99+ROW('Topic Analysis'!$M$6:$M$99)/100000,0)+5)</f>
        <v/>
      </c>
      <c r="I7" s="10">
        <f>IF(H7&gt;=70,"🔴 URGENT — Review Now",IF(H7&gt;=50,"🟡 Needs Work",IF(H7&gt;=30,"🟢 On Track","✅ Mastered")))</f>
        <v/>
      </c>
    </row>
    <row r="8">
      <c r="B8" s="55" t="n">
        <v>3</v>
      </c>
      <c r="C8" s="16">
        <f>INDEX('Topic Analysis'!$B:$B,MATCH(LARGE('Topic Analysis'!$M$6:$M$99+ROW('Topic Analysis'!$M$6:$M$99)/100000,3),'Topic Analysis'!$M$6:$M$99+ROW('Topic Analysis'!$M$6:$M$99)/100000,0)+5)</f>
        <v/>
      </c>
      <c r="D8" s="8">
        <f>INDEX('Topic Analysis'!$C:$C,MATCH(LARGE('Topic Analysis'!$M$6:$M$99+ROW('Topic Analysis'!$M$6:$M$99)/100000,3),'Topic Analysis'!$M$6:$M$99+ROW('Topic Analysis'!$M$6:$M$99)/100000,0)+5)</f>
        <v/>
      </c>
      <c r="E8" s="8">
        <f>INDEX('Topic Analysis'!$D:$D,MATCH(LARGE('Topic Analysis'!$M$6:$M$99+ROW('Topic Analysis'!$M$6:$M$99)/100000,3),'Topic Analysis'!$M$6:$M$99+ROW('Topic Analysis'!$M$6:$M$99)/100000,0)+5)</f>
        <v/>
      </c>
      <c r="F8" s="16">
        <f>INDEX('Topic Analysis'!$E:$E,MATCH(LARGE('Topic Analysis'!$M$6:$M$99+ROW('Topic Analysis'!$M$6:$M$99)/100000,3),'Topic Analysis'!$M$6:$M$99+ROW('Topic Analysis'!$M$6:$M$99)/100000,0)+5)+INDEX('Topic Analysis'!$G:$G,MATCH(LARGE('Topic Analysis'!$M$6:$M$99+ROW('Topic Analysis'!$M$6:$M$99)/100000,3),'Topic Analysis'!$M$6:$M$99+ROW('Topic Analysis'!$M$6:$M$99)/100000,0)+5)</f>
        <v/>
      </c>
      <c r="G8" s="48">
        <f>IFERROR(INDEX('Topic Analysis'!$I:$I,MATCH(LARGE('Topic Analysis'!$M$6:$M$99+ROW('Topic Analysis'!$M$6:$M$99)/100000,3),'Topic Analysis'!$M$6:$M$99+ROW('Topic Analysis'!$M$6:$M$99)/100000,0)+5),"—")</f>
        <v/>
      </c>
      <c r="H8" s="56">
        <f>INDEX('Topic Analysis'!$M:$M,MATCH(LARGE('Topic Analysis'!$M$6:$M$99+ROW('Topic Analysis'!$M$6:$M$99)/100000,3),'Topic Analysis'!$M$6:$M$99+ROW('Topic Analysis'!$M$6:$M$99)/100000,0)+5)</f>
        <v/>
      </c>
      <c r="I8" s="8">
        <f>IF(H8&gt;=70,"🔴 URGENT — Review Now",IF(H8&gt;=50,"🟡 Needs Work",IF(H8&gt;=30,"🟢 On Track","✅ Mastered")))</f>
        <v/>
      </c>
    </row>
    <row r="9">
      <c r="B9" s="57" t="n">
        <v>4</v>
      </c>
      <c r="C9" s="22">
        <f>INDEX('Topic Analysis'!$B:$B,MATCH(LARGE('Topic Analysis'!$M$6:$M$99+ROW('Topic Analysis'!$M$6:$M$99)/100000,4),'Topic Analysis'!$M$6:$M$99+ROW('Topic Analysis'!$M$6:$M$99)/100000,0)+5)</f>
        <v/>
      </c>
      <c r="D9" s="10">
        <f>INDEX('Topic Analysis'!$C:$C,MATCH(LARGE('Topic Analysis'!$M$6:$M$99+ROW('Topic Analysis'!$M$6:$M$99)/100000,4),'Topic Analysis'!$M$6:$M$99+ROW('Topic Analysis'!$M$6:$M$99)/100000,0)+5)</f>
        <v/>
      </c>
      <c r="E9" s="10">
        <f>INDEX('Topic Analysis'!$D:$D,MATCH(LARGE('Topic Analysis'!$M$6:$M$99+ROW('Topic Analysis'!$M$6:$M$99)/100000,4),'Topic Analysis'!$M$6:$M$99+ROW('Topic Analysis'!$M$6:$M$99)/100000,0)+5)</f>
        <v/>
      </c>
      <c r="F9" s="22">
        <f>INDEX('Topic Analysis'!$E:$E,MATCH(LARGE('Topic Analysis'!$M$6:$M$99+ROW('Topic Analysis'!$M$6:$M$99)/100000,4),'Topic Analysis'!$M$6:$M$99+ROW('Topic Analysis'!$M$6:$M$99)/100000,0)+5)+INDEX('Topic Analysis'!$G:$G,MATCH(LARGE('Topic Analysis'!$M$6:$M$99+ROW('Topic Analysis'!$M$6:$M$99)/100000,4),'Topic Analysis'!$M$6:$M$99+ROW('Topic Analysis'!$M$6:$M$99)/100000,0)+5)</f>
        <v/>
      </c>
      <c r="G9" s="49">
        <f>IFERROR(INDEX('Topic Analysis'!$I:$I,MATCH(LARGE('Topic Analysis'!$M$6:$M$99+ROW('Topic Analysis'!$M$6:$M$99)/100000,4),'Topic Analysis'!$M$6:$M$99+ROW('Topic Analysis'!$M$6:$M$99)/100000,0)+5),"—")</f>
        <v/>
      </c>
      <c r="H9" s="58">
        <f>INDEX('Topic Analysis'!$M:$M,MATCH(LARGE('Topic Analysis'!$M$6:$M$99+ROW('Topic Analysis'!$M$6:$M$99)/100000,4),'Topic Analysis'!$M$6:$M$99+ROW('Topic Analysis'!$M$6:$M$99)/100000,0)+5)</f>
        <v/>
      </c>
      <c r="I9" s="10">
        <f>IF(H9&gt;=70,"🔴 URGENT — Review Now",IF(H9&gt;=50,"🟡 Needs Work",IF(H9&gt;=30,"🟢 On Track","✅ Mastered")))</f>
        <v/>
      </c>
    </row>
    <row r="10">
      <c r="B10" s="55" t="n">
        <v>5</v>
      </c>
      <c r="C10" s="16">
        <f>INDEX('Topic Analysis'!$B:$B,MATCH(LARGE('Topic Analysis'!$M$6:$M$99+ROW('Topic Analysis'!$M$6:$M$99)/100000,5),'Topic Analysis'!$M$6:$M$99+ROW('Topic Analysis'!$M$6:$M$99)/100000,0)+5)</f>
        <v/>
      </c>
      <c r="D10" s="8">
        <f>INDEX('Topic Analysis'!$C:$C,MATCH(LARGE('Topic Analysis'!$M$6:$M$99+ROW('Topic Analysis'!$M$6:$M$99)/100000,5),'Topic Analysis'!$M$6:$M$99+ROW('Topic Analysis'!$M$6:$M$99)/100000,0)+5)</f>
        <v/>
      </c>
      <c r="E10" s="8">
        <f>INDEX('Topic Analysis'!$D:$D,MATCH(LARGE('Topic Analysis'!$M$6:$M$99+ROW('Topic Analysis'!$M$6:$M$99)/100000,5),'Topic Analysis'!$M$6:$M$99+ROW('Topic Analysis'!$M$6:$M$99)/100000,0)+5)</f>
        <v/>
      </c>
      <c r="F10" s="16">
        <f>INDEX('Topic Analysis'!$E:$E,MATCH(LARGE('Topic Analysis'!$M$6:$M$99+ROW('Topic Analysis'!$M$6:$M$99)/100000,5),'Topic Analysis'!$M$6:$M$99+ROW('Topic Analysis'!$M$6:$M$99)/100000,0)+5)+INDEX('Topic Analysis'!$G:$G,MATCH(LARGE('Topic Analysis'!$M$6:$M$99+ROW('Topic Analysis'!$M$6:$M$99)/100000,5),'Topic Analysis'!$M$6:$M$99+ROW('Topic Analysis'!$M$6:$M$99)/100000,0)+5)</f>
        <v/>
      </c>
      <c r="G10" s="48">
        <f>IFERROR(INDEX('Topic Analysis'!$I:$I,MATCH(LARGE('Topic Analysis'!$M$6:$M$99+ROW('Topic Analysis'!$M$6:$M$99)/100000,5),'Topic Analysis'!$M$6:$M$99+ROW('Topic Analysis'!$M$6:$M$99)/100000,0)+5),"—")</f>
        <v/>
      </c>
      <c r="H10" s="56">
        <f>INDEX('Topic Analysis'!$M:$M,MATCH(LARGE('Topic Analysis'!$M$6:$M$99+ROW('Topic Analysis'!$M$6:$M$99)/100000,5),'Topic Analysis'!$M$6:$M$99+ROW('Topic Analysis'!$M$6:$M$99)/100000,0)+5)</f>
        <v/>
      </c>
      <c r="I10" s="8">
        <f>IF(H10&gt;=70,"🔴 URGENT — Review Now",IF(H10&gt;=50,"🟡 Needs Work",IF(H10&gt;=30,"🟢 On Track","✅ Mastered")))</f>
        <v/>
      </c>
    </row>
    <row r="11">
      <c r="B11" s="57" t="n">
        <v>6</v>
      </c>
      <c r="C11" s="22">
        <f>INDEX('Topic Analysis'!$B:$B,MATCH(LARGE('Topic Analysis'!$M$6:$M$99+ROW('Topic Analysis'!$M$6:$M$99)/100000,6),'Topic Analysis'!$M$6:$M$99+ROW('Topic Analysis'!$M$6:$M$99)/100000,0)+5)</f>
        <v/>
      </c>
      <c r="D11" s="10">
        <f>INDEX('Topic Analysis'!$C:$C,MATCH(LARGE('Topic Analysis'!$M$6:$M$99+ROW('Topic Analysis'!$M$6:$M$99)/100000,6),'Topic Analysis'!$M$6:$M$99+ROW('Topic Analysis'!$M$6:$M$99)/100000,0)+5)</f>
        <v/>
      </c>
      <c r="E11" s="10">
        <f>INDEX('Topic Analysis'!$D:$D,MATCH(LARGE('Topic Analysis'!$M$6:$M$99+ROW('Topic Analysis'!$M$6:$M$99)/100000,6),'Topic Analysis'!$M$6:$M$99+ROW('Topic Analysis'!$M$6:$M$99)/100000,0)+5)</f>
        <v/>
      </c>
      <c r="F11" s="22">
        <f>INDEX('Topic Analysis'!$E:$E,MATCH(LARGE('Topic Analysis'!$M$6:$M$99+ROW('Topic Analysis'!$M$6:$M$99)/100000,6),'Topic Analysis'!$M$6:$M$99+ROW('Topic Analysis'!$M$6:$M$99)/100000,0)+5)+INDEX('Topic Analysis'!$G:$G,MATCH(LARGE('Topic Analysis'!$M$6:$M$99+ROW('Topic Analysis'!$M$6:$M$99)/100000,6),'Topic Analysis'!$M$6:$M$99+ROW('Topic Analysis'!$M$6:$M$99)/100000,0)+5)</f>
        <v/>
      </c>
      <c r="G11" s="49">
        <f>IFERROR(INDEX('Topic Analysis'!$I:$I,MATCH(LARGE('Topic Analysis'!$M$6:$M$99+ROW('Topic Analysis'!$M$6:$M$99)/100000,6),'Topic Analysis'!$M$6:$M$99+ROW('Topic Analysis'!$M$6:$M$99)/100000,0)+5),"—")</f>
        <v/>
      </c>
      <c r="H11" s="58">
        <f>INDEX('Topic Analysis'!$M:$M,MATCH(LARGE('Topic Analysis'!$M$6:$M$99+ROW('Topic Analysis'!$M$6:$M$99)/100000,6),'Topic Analysis'!$M$6:$M$99+ROW('Topic Analysis'!$M$6:$M$99)/100000,0)+5)</f>
        <v/>
      </c>
      <c r="I11" s="10">
        <f>IF(H11&gt;=70,"🔴 URGENT — Review Now",IF(H11&gt;=50,"🟡 Needs Work",IF(H11&gt;=30,"🟢 On Track","✅ Mastered")))</f>
        <v/>
      </c>
    </row>
    <row r="12">
      <c r="B12" s="55" t="n">
        <v>7</v>
      </c>
      <c r="C12" s="16">
        <f>INDEX('Topic Analysis'!$B:$B,MATCH(LARGE('Topic Analysis'!$M$6:$M$99+ROW('Topic Analysis'!$M$6:$M$99)/100000,7),'Topic Analysis'!$M$6:$M$99+ROW('Topic Analysis'!$M$6:$M$99)/100000,0)+5)</f>
        <v/>
      </c>
      <c r="D12" s="8">
        <f>INDEX('Topic Analysis'!$C:$C,MATCH(LARGE('Topic Analysis'!$M$6:$M$99+ROW('Topic Analysis'!$M$6:$M$99)/100000,7),'Topic Analysis'!$M$6:$M$99+ROW('Topic Analysis'!$M$6:$M$99)/100000,0)+5)</f>
        <v/>
      </c>
      <c r="E12" s="8">
        <f>INDEX('Topic Analysis'!$D:$D,MATCH(LARGE('Topic Analysis'!$M$6:$M$99+ROW('Topic Analysis'!$M$6:$M$99)/100000,7),'Topic Analysis'!$M$6:$M$99+ROW('Topic Analysis'!$M$6:$M$99)/100000,0)+5)</f>
        <v/>
      </c>
      <c r="F12" s="16">
        <f>INDEX('Topic Analysis'!$E:$E,MATCH(LARGE('Topic Analysis'!$M$6:$M$99+ROW('Topic Analysis'!$M$6:$M$99)/100000,7),'Topic Analysis'!$M$6:$M$99+ROW('Topic Analysis'!$M$6:$M$99)/100000,0)+5)+INDEX('Topic Analysis'!$G:$G,MATCH(LARGE('Topic Analysis'!$M$6:$M$99+ROW('Topic Analysis'!$M$6:$M$99)/100000,7),'Topic Analysis'!$M$6:$M$99+ROW('Topic Analysis'!$M$6:$M$99)/100000,0)+5)</f>
        <v/>
      </c>
      <c r="G12" s="48">
        <f>IFERROR(INDEX('Topic Analysis'!$I:$I,MATCH(LARGE('Topic Analysis'!$M$6:$M$99+ROW('Topic Analysis'!$M$6:$M$99)/100000,7),'Topic Analysis'!$M$6:$M$99+ROW('Topic Analysis'!$M$6:$M$99)/100000,0)+5),"—")</f>
        <v/>
      </c>
      <c r="H12" s="56">
        <f>INDEX('Topic Analysis'!$M:$M,MATCH(LARGE('Topic Analysis'!$M$6:$M$99+ROW('Topic Analysis'!$M$6:$M$99)/100000,7),'Topic Analysis'!$M$6:$M$99+ROW('Topic Analysis'!$M$6:$M$99)/100000,0)+5)</f>
        <v/>
      </c>
      <c r="I12" s="8">
        <f>IF(H12&gt;=70,"🔴 URGENT — Review Now",IF(H12&gt;=50,"🟡 Needs Work",IF(H12&gt;=30,"🟢 On Track","✅ Mastered")))</f>
        <v/>
      </c>
    </row>
    <row r="13">
      <c r="B13" s="57" t="n">
        <v>8</v>
      </c>
      <c r="C13" s="22">
        <f>INDEX('Topic Analysis'!$B:$B,MATCH(LARGE('Topic Analysis'!$M$6:$M$99+ROW('Topic Analysis'!$M$6:$M$99)/100000,8),'Topic Analysis'!$M$6:$M$99+ROW('Topic Analysis'!$M$6:$M$99)/100000,0)+5)</f>
        <v/>
      </c>
      <c r="D13" s="10">
        <f>INDEX('Topic Analysis'!$C:$C,MATCH(LARGE('Topic Analysis'!$M$6:$M$99+ROW('Topic Analysis'!$M$6:$M$99)/100000,8),'Topic Analysis'!$M$6:$M$99+ROW('Topic Analysis'!$M$6:$M$99)/100000,0)+5)</f>
        <v/>
      </c>
      <c r="E13" s="10">
        <f>INDEX('Topic Analysis'!$D:$D,MATCH(LARGE('Topic Analysis'!$M$6:$M$99+ROW('Topic Analysis'!$M$6:$M$99)/100000,8),'Topic Analysis'!$M$6:$M$99+ROW('Topic Analysis'!$M$6:$M$99)/100000,0)+5)</f>
        <v/>
      </c>
      <c r="F13" s="22">
        <f>INDEX('Topic Analysis'!$E:$E,MATCH(LARGE('Topic Analysis'!$M$6:$M$99+ROW('Topic Analysis'!$M$6:$M$99)/100000,8),'Topic Analysis'!$M$6:$M$99+ROW('Topic Analysis'!$M$6:$M$99)/100000,0)+5)+INDEX('Topic Analysis'!$G:$G,MATCH(LARGE('Topic Analysis'!$M$6:$M$99+ROW('Topic Analysis'!$M$6:$M$99)/100000,8),'Topic Analysis'!$M$6:$M$99+ROW('Topic Analysis'!$M$6:$M$99)/100000,0)+5)</f>
        <v/>
      </c>
      <c r="G13" s="49">
        <f>IFERROR(INDEX('Topic Analysis'!$I:$I,MATCH(LARGE('Topic Analysis'!$M$6:$M$99+ROW('Topic Analysis'!$M$6:$M$99)/100000,8),'Topic Analysis'!$M$6:$M$99+ROW('Topic Analysis'!$M$6:$M$99)/100000,0)+5),"—")</f>
        <v/>
      </c>
      <c r="H13" s="58">
        <f>INDEX('Topic Analysis'!$M:$M,MATCH(LARGE('Topic Analysis'!$M$6:$M$99+ROW('Topic Analysis'!$M$6:$M$99)/100000,8),'Topic Analysis'!$M$6:$M$99+ROW('Topic Analysis'!$M$6:$M$99)/100000,0)+5)</f>
        <v/>
      </c>
      <c r="I13" s="10">
        <f>IF(H13&gt;=70,"🔴 URGENT — Review Now",IF(H13&gt;=50,"🟡 Needs Work",IF(H13&gt;=30,"🟢 On Track","✅ Mastered")))</f>
        <v/>
      </c>
    </row>
    <row r="14">
      <c r="B14" s="55" t="n">
        <v>9</v>
      </c>
      <c r="C14" s="16">
        <f>INDEX('Topic Analysis'!$B:$B,MATCH(LARGE('Topic Analysis'!$M$6:$M$99+ROW('Topic Analysis'!$M$6:$M$99)/100000,9),'Topic Analysis'!$M$6:$M$99+ROW('Topic Analysis'!$M$6:$M$99)/100000,0)+5)</f>
        <v/>
      </c>
      <c r="D14" s="8">
        <f>INDEX('Topic Analysis'!$C:$C,MATCH(LARGE('Topic Analysis'!$M$6:$M$99+ROW('Topic Analysis'!$M$6:$M$99)/100000,9),'Topic Analysis'!$M$6:$M$99+ROW('Topic Analysis'!$M$6:$M$99)/100000,0)+5)</f>
        <v/>
      </c>
      <c r="E14" s="8">
        <f>INDEX('Topic Analysis'!$D:$D,MATCH(LARGE('Topic Analysis'!$M$6:$M$99+ROW('Topic Analysis'!$M$6:$M$99)/100000,9),'Topic Analysis'!$M$6:$M$99+ROW('Topic Analysis'!$M$6:$M$99)/100000,0)+5)</f>
        <v/>
      </c>
      <c r="F14" s="16">
        <f>INDEX('Topic Analysis'!$E:$E,MATCH(LARGE('Topic Analysis'!$M$6:$M$99+ROW('Topic Analysis'!$M$6:$M$99)/100000,9),'Topic Analysis'!$M$6:$M$99+ROW('Topic Analysis'!$M$6:$M$99)/100000,0)+5)+INDEX('Topic Analysis'!$G:$G,MATCH(LARGE('Topic Analysis'!$M$6:$M$99+ROW('Topic Analysis'!$M$6:$M$99)/100000,9),'Topic Analysis'!$M$6:$M$99+ROW('Topic Analysis'!$M$6:$M$99)/100000,0)+5)</f>
        <v/>
      </c>
      <c r="G14" s="48">
        <f>IFERROR(INDEX('Topic Analysis'!$I:$I,MATCH(LARGE('Topic Analysis'!$M$6:$M$99+ROW('Topic Analysis'!$M$6:$M$99)/100000,9),'Topic Analysis'!$M$6:$M$99+ROW('Topic Analysis'!$M$6:$M$99)/100000,0)+5),"—")</f>
        <v/>
      </c>
      <c r="H14" s="56">
        <f>INDEX('Topic Analysis'!$M:$M,MATCH(LARGE('Topic Analysis'!$M$6:$M$99+ROW('Topic Analysis'!$M$6:$M$99)/100000,9),'Topic Analysis'!$M$6:$M$99+ROW('Topic Analysis'!$M$6:$M$99)/100000,0)+5)</f>
        <v/>
      </c>
      <c r="I14" s="8">
        <f>IF(H14&gt;=70,"🔴 URGENT — Review Now",IF(H14&gt;=50,"🟡 Needs Work",IF(H14&gt;=30,"🟢 On Track","✅ Mastered")))</f>
        <v/>
      </c>
    </row>
    <row r="15">
      <c r="B15" s="57" t="n">
        <v>10</v>
      </c>
      <c r="C15" s="22">
        <f>INDEX('Topic Analysis'!$B:$B,MATCH(LARGE('Topic Analysis'!$M$6:$M$99+ROW('Topic Analysis'!$M$6:$M$99)/100000,10),'Topic Analysis'!$M$6:$M$99+ROW('Topic Analysis'!$M$6:$M$99)/100000,0)+5)</f>
        <v/>
      </c>
      <c r="D15" s="10">
        <f>INDEX('Topic Analysis'!$C:$C,MATCH(LARGE('Topic Analysis'!$M$6:$M$99+ROW('Topic Analysis'!$M$6:$M$99)/100000,10),'Topic Analysis'!$M$6:$M$99+ROW('Topic Analysis'!$M$6:$M$99)/100000,0)+5)</f>
        <v/>
      </c>
      <c r="E15" s="10">
        <f>INDEX('Topic Analysis'!$D:$D,MATCH(LARGE('Topic Analysis'!$M$6:$M$99+ROW('Topic Analysis'!$M$6:$M$99)/100000,10),'Topic Analysis'!$M$6:$M$99+ROW('Topic Analysis'!$M$6:$M$99)/100000,0)+5)</f>
        <v/>
      </c>
      <c r="F15" s="22">
        <f>INDEX('Topic Analysis'!$E:$E,MATCH(LARGE('Topic Analysis'!$M$6:$M$99+ROW('Topic Analysis'!$M$6:$M$99)/100000,10),'Topic Analysis'!$M$6:$M$99+ROW('Topic Analysis'!$M$6:$M$99)/100000,0)+5)+INDEX('Topic Analysis'!$G:$G,MATCH(LARGE('Topic Analysis'!$M$6:$M$99+ROW('Topic Analysis'!$M$6:$M$99)/100000,10),'Topic Analysis'!$M$6:$M$99+ROW('Topic Analysis'!$M$6:$M$99)/100000,0)+5)</f>
        <v/>
      </c>
      <c r="G15" s="49">
        <f>IFERROR(INDEX('Topic Analysis'!$I:$I,MATCH(LARGE('Topic Analysis'!$M$6:$M$99+ROW('Topic Analysis'!$M$6:$M$99)/100000,10),'Topic Analysis'!$M$6:$M$99+ROW('Topic Analysis'!$M$6:$M$99)/100000,0)+5),"—")</f>
        <v/>
      </c>
      <c r="H15" s="58">
        <f>INDEX('Topic Analysis'!$M:$M,MATCH(LARGE('Topic Analysis'!$M$6:$M$99+ROW('Topic Analysis'!$M$6:$M$99)/100000,10),'Topic Analysis'!$M$6:$M$99+ROW('Topic Analysis'!$M$6:$M$99)/100000,0)+5)</f>
        <v/>
      </c>
      <c r="I15" s="10">
        <f>IF(H15&gt;=70,"🔴 URGENT — Review Now",IF(H15&gt;=50,"🟡 Needs Work",IF(H15&gt;=30,"🟢 On Track","✅ Mastered")))</f>
        <v/>
      </c>
    </row>
    <row r="16">
      <c r="B16" s="55" t="n">
        <v>11</v>
      </c>
      <c r="C16" s="16">
        <f>INDEX('Topic Analysis'!$B:$B,MATCH(LARGE('Topic Analysis'!$M$6:$M$99+ROW('Topic Analysis'!$M$6:$M$99)/100000,11),'Topic Analysis'!$M$6:$M$99+ROW('Topic Analysis'!$M$6:$M$99)/100000,0)+5)</f>
        <v/>
      </c>
      <c r="D16" s="8">
        <f>INDEX('Topic Analysis'!$C:$C,MATCH(LARGE('Topic Analysis'!$M$6:$M$99+ROW('Topic Analysis'!$M$6:$M$99)/100000,11),'Topic Analysis'!$M$6:$M$99+ROW('Topic Analysis'!$M$6:$M$99)/100000,0)+5)</f>
        <v/>
      </c>
      <c r="E16" s="8">
        <f>INDEX('Topic Analysis'!$D:$D,MATCH(LARGE('Topic Analysis'!$M$6:$M$99+ROW('Topic Analysis'!$M$6:$M$99)/100000,11),'Topic Analysis'!$M$6:$M$99+ROW('Topic Analysis'!$M$6:$M$99)/100000,0)+5)</f>
        <v/>
      </c>
      <c r="F16" s="16">
        <f>INDEX('Topic Analysis'!$E:$E,MATCH(LARGE('Topic Analysis'!$M$6:$M$99+ROW('Topic Analysis'!$M$6:$M$99)/100000,11),'Topic Analysis'!$M$6:$M$99+ROW('Topic Analysis'!$M$6:$M$99)/100000,0)+5)+INDEX('Topic Analysis'!$G:$G,MATCH(LARGE('Topic Analysis'!$M$6:$M$99+ROW('Topic Analysis'!$M$6:$M$99)/100000,11),'Topic Analysis'!$M$6:$M$99+ROW('Topic Analysis'!$M$6:$M$99)/100000,0)+5)</f>
        <v/>
      </c>
      <c r="G16" s="48">
        <f>IFERROR(INDEX('Topic Analysis'!$I:$I,MATCH(LARGE('Topic Analysis'!$M$6:$M$99+ROW('Topic Analysis'!$M$6:$M$99)/100000,11),'Topic Analysis'!$M$6:$M$99+ROW('Topic Analysis'!$M$6:$M$99)/100000,0)+5),"—")</f>
        <v/>
      </c>
      <c r="H16" s="56">
        <f>INDEX('Topic Analysis'!$M:$M,MATCH(LARGE('Topic Analysis'!$M$6:$M$99+ROW('Topic Analysis'!$M$6:$M$99)/100000,11),'Topic Analysis'!$M$6:$M$99+ROW('Topic Analysis'!$M$6:$M$99)/100000,0)+5)</f>
        <v/>
      </c>
      <c r="I16" s="8">
        <f>IF(H16&gt;=70,"🔴 URGENT — Review Now",IF(H16&gt;=50,"🟡 Needs Work",IF(H16&gt;=30,"🟢 On Track","✅ Mastered")))</f>
        <v/>
      </c>
    </row>
    <row r="17">
      <c r="B17" s="57" t="n">
        <v>12</v>
      </c>
      <c r="C17" s="22">
        <f>INDEX('Topic Analysis'!$B:$B,MATCH(LARGE('Topic Analysis'!$M$6:$M$99+ROW('Topic Analysis'!$M$6:$M$99)/100000,12),'Topic Analysis'!$M$6:$M$99+ROW('Topic Analysis'!$M$6:$M$99)/100000,0)+5)</f>
        <v/>
      </c>
      <c r="D17" s="10">
        <f>INDEX('Topic Analysis'!$C:$C,MATCH(LARGE('Topic Analysis'!$M$6:$M$99+ROW('Topic Analysis'!$M$6:$M$99)/100000,12),'Topic Analysis'!$M$6:$M$99+ROW('Topic Analysis'!$M$6:$M$99)/100000,0)+5)</f>
        <v/>
      </c>
      <c r="E17" s="10">
        <f>INDEX('Topic Analysis'!$D:$D,MATCH(LARGE('Topic Analysis'!$M$6:$M$99+ROW('Topic Analysis'!$M$6:$M$99)/100000,12),'Topic Analysis'!$M$6:$M$99+ROW('Topic Analysis'!$M$6:$M$99)/100000,0)+5)</f>
        <v/>
      </c>
      <c r="F17" s="22">
        <f>INDEX('Topic Analysis'!$E:$E,MATCH(LARGE('Topic Analysis'!$M$6:$M$99+ROW('Topic Analysis'!$M$6:$M$99)/100000,12),'Topic Analysis'!$M$6:$M$99+ROW('Topic Analysis'!$M$6:$M$99)/100000,0)+5)+INDEX('Topic Analysis'!$G:$G,MATCH(LARGE('Topic Analysis'!$M$6:$M$99+ROW('Topic Analysis'!$M$6:$M$99)/100000,12),'Topic Analysis'!$M$6:$M$99+ROW('Topic Analysis'!$M$6:$M$99)/100000,0)+5)</f>
        <v/>
      </c>
      <c r="G17" s="49">
        <f>IFERROR(INDEX('Topic Analysis'!$I:$I,MATCH(LARGE('Topic Analysis'!$M$6:$M$99+ROW('Topic Analysis'!$M$6:$M$99)/100000,12),'Topic Analysis'!$M$6:$M$99+ROW('Topic Analysis'!$M$6:$M$99)/100000,0)+5),"—")</f>
        <v/>
      </c>
      <c r="H17" s="58">
        <f>INDEX('Topic Analysis'!$M:$M,MATCH(LARGE('Topic Analysis'!$M$6:$M$99+ROW('Topic Analysis'!$M$6:$M$99)/100000,12),'Topic Analysis'!$M$6:$M$99+ROW('Topic Analysis'!$M$6:$M$99)/100000,0)+5)</f>
        <v/>
      </c>
      <c r="I17" s="10">
        <f>IF(H17&gt;=70,"🔴 URGENT — Review Now",IF(H17&gt;=50,"🟡 Needs Work",IF(H17&gt;=30,"🟢 On Track","✅ Mastered")))</f>
        <v/>
      </c>
    </row>
    <row r="18">
      <c r="B18" s="55" t="n">
        <v>13</v>
      </c>
      <c r="C18" s="16">
        <f>INDEX('Topic Analysis'!$B:$B,MATCH(LARGE('Topic Analysis'!$M$6:$M$99+ROW('Topic Analysis'!$M$6:$M$99)/100000,13),'Topic Analysis'!$M$6:$M$99+ROW('Topic Analysis'!$M$6:$M$99)/100000,0)+5)</f>
        <v/>
      </c>
      <c r="D18" s="8">
        <f>INDEX('Topic Analysis'!$C:$C,MATCH(LARGE('Topic Analysis'!$M$6:$M$99+ROW('Topic Analysis'!$M$6:$M$99)/100000,13),'Topic Analysis'!$M$6:$M$99+ROW('Topic Analysis'!$M$6:$M$99)/100000,0)+5)</f>
        <v/>
      </c>
      <c r="E18" s="8">
        <f>INDEX('Topic Analysis'!$D:$D,MATCH(LARGE('Topic Analysis'!$M$6:$M$99+ROW('Topic Analysis'!$M$6:$M$99)/100000,13),'Topic Analysis'!$M$6:$M$99+ROW('Topic Analysis'!$M$6:$M$99)/100000,0)+5)</f>
        <v/>
      </c>
      <c r="F18" s="16">
        <f>INDEX('Topic Analysis'!$E:$E,MATCH(LARGE('Topic Analysis'!$M$6:$M$99+ROW('Topic Analysis'!$M$6:$M$99)/100000,13),'Topic Analysis'!$M$6:$M$99+ROW('Topic Analysis'!$M$6:$M$99)/100000,0)+5)+INDEX('Topic Analysis'!$G:$G,MATCH(LARGE('Topic Analysis'!$M$6:$M$99+ROW('Topic Analysis'!$M$6:$M$99)/100000,13),'Topic Analysis'!$M$6:$M$99+ROW('Topic Analysis'!$M$6:$M$99)/100000,0)+5)</f>
        <v/>
      </c>
      <c r="G18" s="48">
        <f>IFERROR(INDEX('Topic Analysis'!$I:$I,MATCH(LARGE('Topic Analysis'!$M$6:$M$99+ROW('Topic Analysis'!$M$6:$M$99)/100000,13),'Topic Analysis'!$M$6:$M$99+ROW('Topic Analysis'!$M$6:$M$99)/100000,0)+5),"—")</f>
        <v/>
      </c>
      <c r="H18" s="56">
        <f>INDEX('Topic Analysis'!$M:$M,MATCH(LARGE('Topic Analysis'!$M$6:$M$99+ROW('Topic Analysis'!$M$6:$M$99)/100000,13),'Topic Analysis'!$M$6:$M$99+ROW('Topic Analysis'!$M$6:$M$99)/100000,0)+5)</f>
        <v/>
      </c>
      <c r="I18" s="8">
        <f>IF(H18&gt;=70,"🔴 URGENT — Review Now",IF(H18&gt;=50,"🟡 Needs Work",IF(H18&gt;=30,"🟢 On Track","✅ Mastered")))</f>
        <v/>
      </c>
    </row>
    <row r="19">
      <c r="B19" s="57" t="n">
        <v>14</v>
      </c>
      <c r="C19" s="22">
        <f>INDEX('Topic Analysis'!$B:$B,MATCH(LARGE('Topic Analysis'!$M$6:$M$99+ROW('Topic Analysis'!$M$6:$M$99)/100000,14),'Topic Analysis'!$M$6:$M$99+ROW('Topic Analysis'!$M$6:$M$99)/100000,0)+5)</f>
        <v/>
      </c>
      <c r="D19" s="10">
        <f>INDEX('Topic Analysis'!$C:$C,MATCH(LARGE('Topic Analysis'!$M$6:$M$99+ROW('Topic Analysis'!$M$6:$M$99)/100000,14),'Topic Analysis'!$M$6:$M$99+ROW('Topic Analysis'!$M$6:$M$99)/100000,0)+5)</f>
        <v/>
      </c>
      <c r="E19" s="10">
        <f>INDEX('Topic Analysis'!$D:$D,MATCH(LARGE('Topic Analysis'!$M$6:$M$99+ROW('Topic Analysis'!$M$6:$M$99)/100000,14),'Topic Analysis'!$M$6:$M$99+ROW('Topic Analysis'!$M$6:$M$99)/100000,0)+5)</f>
        <v/>
      </c>
      <c r="F19" s="22">
        <f>INDEX('Topic Analysis'!$E:$E,MATCH(LARGE('Topic Analysis'!$M$6:$M$99+ROW('Topic Analysis'!$M$6:$M$99)/100000,14),'Topic Analysis'!$M$6:$M$99+ROW('Topic Analysis'!$M$6:$M$99)/100000,0)+5)+INDEX('Topic Analysis'!$G:$G,MATCH(LARGE('Topic Analysis'!$M$6:$M$99+ROW('Topic Analysis'!$M$6:$M$99)/100000,14),'Topic Analysis'!$M$6:$M$99+ROW('Topic Analysis'!$M$6:$M$99)/100000,0)+5)</f>
        <v/>
      </c>
      <c r="G19" s="49">
        <f>IFERROR(INDEX('Topic Analysis'!$I:$I,MATCH(LARGE('Topic Analysis'!$M$6:$M$99+ROW('Topic Analysis'!$M$6:$M$99)/100000,14),'Topic Analysis'!$M$6:$M$99+ROW('Topic Analysis'!$M$6:$M$99)/100000,0)+5),"—")</f>
        <v/>
      </c>
      <c r="H19" s="58">
        <f>INDEX('Topic Analysis'!$M:$M,MATCH(LARGE('Topic Analysis'!$M$6:$M$99+ROW('Topic Analysis'!$M$6:$M$99)/100000,14),'Topic Analysis'!$M$6:$M$99+ROW('Topic Analysis'!$M$6:$M$99)/100000,0)+5)</f>
        <v/>
      </c>
      <c r="I19" s="10">
        <f>IF(H19&gt;=70,"🔴 URGENT — Review Now",IF(H19&gt;=50,"🟡 Needs Work",IF(H19&gt;=30,"🟢 On Track","✅ Mastered")))</f>
        <v/>
      </c>
    </row>
    <row r="20">
      <c r="B20" s="55" t="n">
        <v>15</v>
      </c>
      <c r="C20" s="16">
        <f>INDEX('Topic Analysis'!$B:$B,MATCH(LARGE('Topic Analysis'!$M$6:$M$99+ROW('Topic Analysis'!$M$6:$M$99)/100000,15),'Topic Analysis'!$M$6:$M$99+ROW('Topic Analysis'!$M$6:$M$99)/100000,0)+5)</f>
        <v/>
      </c>
      <c r="D20" s="8">
        <f>INDEX('Topic Analysis'!$C:$C,MATCH(LARGE('Topic Analysis'!$M$6:$M$99+ROW('Topic Analysis'!$M$6:$M$99)/100000,15),'Topic Analysis'!$M$6:$M$99+ROW('Topic Analysis'!$M$6:$M$99)/100000,0)+5)</f>
        <v/>
      </c>
      <c r="E20" s="8">
        <f>INDEX('Topic Analysis'!$D:$D,MATCH(LARGE('Topic Analysis'!$M$6:$M$99+ROW('Topic Analysis'!$M$6:$M$99)/100000,15),'Topic Analysis'!$M$6:$M$99+ROW('Topic Analysis'!$M$6:$M$99)/100000,0)+5)</f>
        <v/>
      </c>
      <c r="F20" s="16">
        <f>INDEX('Topic Analysis'!$E:$E,MATCH(LARGE('Topic Analysis'!$M$6:$M$99+ROW('Topic Analysis'!$M$6:$M$99)/100000,15),'Topic Analysis'!$M$6:$M$99+ROW('Topic Analysis'!$M$6:$M$99)/100000,0)+5)+INDEX('Topic Analysis'!$G:$G,MATCH(LARGE('Topic Analysis'!$M$6:$M$99+ROW('Topic Analysis'!$M$6:$M$99)/100000,15),'Topic Analysis'!$M$6:$M$99+ROW('Topic Analysis'!$M$6:$M$99)/100000,0)+5)</f>
        <v/>
      </c>
      <c r="G20" s="48">
        <f>IFERROR(INDEX('Topic Analysis'!$I:$I,MATCH(LARGE('Topic Analysis'!$M$6:$M$99+ROW('Topic Analysis'!$M$6:$M$99)/100000,15),'Topic Analysis'!$M$6:$M$99+ROW('Topic Analysis'!$M$6:$M$99)/100000,0)+5),"—")</f>
        <v/>
      </c>
      <c r="H20" s="56">
        <f>INDEX('Topic Analysis'!$M:$M,MATCH(LARGE('Topic Analysis'!$M$6:$M$99+ROW('Topic Analysis'!$M$6:$M$99)/100000,15),'Topic Analysis'!$M$6:$M$99+ROW('Topic Analysis'!$M$6:$M$99)/100000,0)+5)</f>
        <v/>
      </c>
      <c r="I20" s="8">
        <f>IF(H20&gt;=70,"🔴 URGENT — Review Now",IF(H20&gt;=50,"🟡 Needs Work",IF(H20&gt;=30,"🟢 On Track","✅ Mastered")))</f>
        <v/>
      </c>
    </row>
    <row r="21">
      <c r="B21" s="57" t="n">
        <v>16</v>
      </c>
      <c r="C21" s="22">
        <f>INDEX('Topic Analysis'!$B:$B,MATCH(LARGE('Topic Analysis'!$M$6:$M$99+ROW('Topic Analysis'!$M$6:$M$99)/100000,16),'Topic Analysis'!$M$6:$M$99+ROW('Topic Analysis'!$M$6:$M$99)/100000,0)+5)</f>
        <v/>
      </c>
      <c r="D21" s="10">
        <f>INDEX('Topic Analysis'!$C:$C,MATCH(LARGE('Topic Analysis'!$M$6:$M$99+ROW('Topic Analysis'!$M$6:$M$99)/100000,16),'Topic Analysis'!$M$6:$M$99+ROW('Topic Analysis'!$M$6:$M$99)/100000,0)+5)</f>
        <v/>
      </c>
      <c r="E21" s="10">
        <f>INDEX('Topic Analysis'!$D:$D,MATCH(LARGE('Topic Analysis'!$M$6:$M$99+ROW('Topic Analysis'!$M$6:$M$99)/100000,16),'Topic Analysis'!$M$6:$M$99+ROW('Topic Analysis'!$M$6:$M$99)/100000,0)+5)</f>
        <v/>
      </c>
      <c r="F21" s="22">
        <f>INDEX('Topic Analysis'!$E:$E,MATCH(LARGE('Topic Analysis'!$M$6:$M$99+ROW('Topic Analysis'!$M$6:$M$99)/100000,16),'Topic Analysis'!$M$6:$M$99+ROW('Topic Analysis'!$M$6:$M$99)/100000,0)+5)+INDEX('Topic Analysis'!$G:$G,MATCH(LARGE('Topic Analysis'!$M$6:$M$99+ROW('Topic Analysis'!$M$6:$M$99)/100000,16),'Topic Analysis'!$M$6:$M$99+ROW('Topic Analysis'!$M$6:$M$99)/100000,0)+5)</f>
        <v/>
      </c>
      <c r="G21" s="49">
        <f>IFERROR(INDEX('Topic Analysis'!$I:$I,MATCH(LARGE('Topic Analysis'!$M$6:$M$99+ROW('Topic Analysis'!$M$6:$M$99)/100000,16),'Topic Analysis'!$M$6:$M$99+ROW('Topic Analysis'!$M$6:$M$99)/100000,0)+5),"—")</f>
        <v/>
      </c>
      <c r="H21" s="58">
        <f>INDEX('Topic Analysis'!$M:$M,MATCH(LARGE('Topic Analysis'!$M$6:$M$99+ROW('Topic Analysis'!$M$6:$M$99)/100000,16),'Topic Analysis'!$M$6:$M$99+ROW('Topic Analysis'!$M$6:$M$99)/100000,0)+5)</f>
        <v/>
      </c>
      <c r="I21" s="10">
        <f>IF(H21&gt;=70,"🔴 URGENT — Review Now",IF(H21&gt;=50,"🟡 Needs Work",IF(H21&gt;=30,"🟢 On Track","✅ Mastered")))</f>
        <v/>
      </c>
    </row>
    <row r="22">
      <c r="B22" s="55" t="n">
        <v>17</v>
      </c>
      <c r="C22" s="16">
        <f>INDEX('Topic Analysis'!$B:$B,MATCH(LARGE('Topic Analysis'!$M$6:$M$99+ROW('Topic Analysis'!$M$6:$M$99)/100000,17),'Topic Analysis'!$M$6:$M$99+ROW('Topic Analysis'!$M$6:$M$99)/100000,0)+5)</f>
        <v/>
      </c>
      <c r="D22" s="8">
        <f>INDEX('Topic Analysis'!$C:$C,MATCH(LARGE('Topic Analysis'!$M$6:$M$99+ROW('Topic Analysis'!$M$6:$M$99)/100000,17),'Topic Analysis'!$M$6:$M$99+ROW('Topic Analysis'!$M$6:$M$99)/100000,0)+5)</f>
        <v/>
      </c>
      <c r="E22" s="8">
        <f>INDEX('Topic Analysis'!$D:$D,MATCH(LARGE('Topic Analysis'!$M$6:$M$99+ROW('Topic Analysis'!$M$6:$M$99)/100000,17),'Topic Analysis'!$M$6:$M$99+ROW('Topic Analysis'!$M$6:$M$99)/100000,0)+5)</f>
        <v/>
      </c>
      <c r="F22" s="16">
        <f>INDEX('Topic Analysis'!$E:$E,MATCH(LARGE('Topic Analysis'!$M$6:$M$99+ROW('Topic Analysis'!$M$6:$M$99)/100000,17),'Topic Analysis'!$M$6:$M$99+ROW('Topic Analysis'!$M$6:$M$99)/100000,0)+5)+INDEX('Topic Analysis'!$G:$G,MATCH(LARGE('Topic Analysis'!$M$6:$M$99+ROW('Topic Analysis'!$M$6:$M$99)/100000,17),'Topic Analysis'!$M$6:$M$99+ROW('Topic Analysis'!$M$6:$M$99)/100000,0)+5)</f>
        <v/>
      </c>
      <c r="G22" s="48">
        <f>IFERROR(INDEX('Topic Analysis'!$I:$I,MATCH(LARGE('Topic Analysis'!$M$6:$M$99+ROW('Topic Analysis'!$M$6:$M$99)/100000,17),'Topic Analysis'!$M$6:$M$99+ROW('Topic Analysis'!$M$6:$M$99)/100000,0)+5),"—")</f>
        <v/>
      </c>
      <c r="H22" s="56">
        <f>INDEX('Topic Analysis'!$M:$M,MATCH(LARGE('Topic Analysis'!$M$6:$M$99+ROW('Topic Analysis'!$M$6:$M$99)/100000,17),'Topic Analysis'!$M$6:$M$99+ROW('Topic Analysis'!$M$6:$M$99)/100000,0)+5)</f>
        <v/>
      </c>
      <c r="I22" s="8">
        <f>IF(H22&gt;=70,"🔴 URGENT — Review Now",IF(H22&gt;=50,"🟡 Needs Work",IF(H22&gt;=30,"🟢 On Track","✅ Mastered")))</f>
        <v/>
      </c>
    </row>
    <row r="23">
      <c r="B23" s="57" t="n">
        <v>18</v>
      </c>
      <c r="C23" s="22">
        <f>INDEX('Topic Analysis'!$B:$B,MATCH(LARGE('Topic Analysis'!$M$6:$M$99+ROW('Topic Analysis'!$M$6:$M$99)/100000,18),'Topic Analysis'!$M$6:$M$99+ROW('Topic Analysis'!$M$6:$M$99)/100000,0)+5)</f>
        <v/>
      </c>
      <c r="D23" s="10">
        <f>INDEX('Topic Analysis'!$C:$C,MATCH(LARGE('Topic Analysis'!$M$6:$M$99+ROW('Topic Analysis'!$M$6:$M$99)/100000,18),'Topic Analysis'!$M$6:$M$99+ROW('Topic Analysis'!$M$6:$M$99)/100000,0)+5)</f>
        <v/>
      </c>
      <c r="E23" s="10">
        <f>INDEX('Topic Analysis'!$D:$D,MATCH(LARGE('Topic Analysis'!$M$6:$M$99+ROW('Topic Analysis'!$M$6:$M$99)/100000,18),'Topic Analysis'!$M$6:$M$99+ROW('Topic Analysis'!$M$6:$M$99)/100000,0)+5)</f>
        <v/>
      </c>
      <c r="F23" s="22">
        <f>INDEX('Topic Analysis'!$E:$E,MATCH(LARGE('Topic Analysis'!$M$6:$M$99+ROW('Topic Analysis'!$M$6:$M$99)/100000,18),'Topic Analysis'!$M$6:$M$99+ROW('Topic Analysis'!$M$6:$M$99)/100000,0)+5)+INDEX('Topic Analysis'!$G:$G,MATCH(LARGE('Topic Analysis'!$M$6:$M$99+ROW('Topic Analysis'!$M$6:$M$99)/100000,18),'Topic Analysis'!$M$6:$M$99+ROW('Topic Analysis'!$M$6:$M$99)/100000,0)+5)</f>
        <v/>
      </c>
      <c r="G23" s="49">
        <f>IFERROR(INDEX('Topic Analysis'!$I:$I,MATCH(LARGE('Topic Analysis'!$M$6:$M$99+ROW('Topic Analysis'!$M$6:$M$99)/100000,18),'Topic Analysis'!$M$6:$M$99+ROW('Topic Analysis'!$M$6:$M$99)/100000,0)+5),"—")</f>
        <v/>
      </c>
      <c r="H23" s="58">
        <f>INDEX('Topic Analysis'!$M:$M,MATCH(LARGE('Topic Analysis'!$M$6:$M$99+ROW('Topic Analysis'!$M$6:$M$99)/100000,18),'Topic Analysis'!$M$6:$M$99+ROW('Topic Analysis'!$M$6:$M$99)/100000,0)+5)</f>
        <v/>
      </c>
      <c r="I23" s="10">
        <f>IF(H23&gt;=70,"🔴 URGENT — Review Now",IF(H23&gt;=50,"🟡 Needs Work",IF(H23&gt;=30,"🟢 On Track","✅ Mastered")))</f>
        <v/>
      </c>
    </row>
    <row r="24">
      <c r="B24" s="55" t="n">
        <v>19</v>
      </c>
      <c r="C24" s="16">
        <f>INDEX('Topic Analysis'!$B:$B,MATCH(LARGE('Topic Analysis'!$M$6:$M$99+ROW('Topic Analysis'!$M$6:$M$99)/100000,19),'Topic Analysis'!$M$6:$M$99+ROW('Topic Analysis'!$M$6:$M$99)/100000,0)+5)</f>
        <v/>
      </c>
      <c r="D24" s="8">
        <f>INDEX('Topic Analysis'!$C:$C,MATCH(LARGE('Topic Analysis'!$M$6:$M$99+ROW('Topic Analysis'!$M$6:$M$99)/100000,19),'Topic Analysis'!$M$6:$M$99+ROW('Topic Analysis'!$M$6:$M$99)/100000,0)+5)</f>
        <v/>
      </c>
      <c r="E24" s="8">
        <f>INDEX('Topic Analysis'!$D:$D,MATCH(LARGE('Topic Analysis'!$M$6:$M$99+ROW('Topic Analysis'!$M$6:$M$99)/100000,19),'Topic Analysis'!$M$6:$M$99+ROW('Topic Analysis'!$M$6:$M$99)/100000,0)+5)</f>
        <v/>
      </c>
      <c r="F24" s="16">
        <f>INDEX('Topic Analysis'!$E:$E,MATCH(LARGE('Topic Analysis'!$M$6:$M$99+ROW('Topic Analysis'!$M$6:$M$99)/100000,19),'Topic Analysis'!$M$6:$M$99+ROW('Topic Analysis'!$M$6:$M$99)/100000,0)+5)+INDEX('Topic Analysis'!$G:$G,MATCH(LARGE('Topic Analysis'!$M$6:$M$99+ROW('Topic Analysis'!$M$6:$M$99)/100000,19),'Topic Analysis'!$M$6:$M$99+ROW('Topic Analysis'!$M$6:$M$99)/100000,0)+5)</f>
        <v/>
      </c>
      <c r="G24" s="48">
        <f>IFERROR(INDEX('Topic Analysis'!$I:$I,MATCH(LARGE('Topic Analysis'!$M$6:$M$99+ROW('Topic Analysis'!$M$6:$M$99)/100000,19),'Topic Analysis'!$M$6:$M$99+ROW('Topic Analysis'!$M$6:$M$99)/100000,0)+5),"—")</f>
        <v/>
      </c>
      <c r="H24" s="56">
        <f>INDEX('Topic Analysis'!$M:$M,MATCH(LARGE('Topic Analysis'!$M$6:$M$99+ROW('Topic Analysis'!$M$6:$M$99)/100000,19),'Topic Analysis'!$M$6:$M$99+ROW('Topic Analysis'!$M$6:$M$99)/100000,0)+5)</f>
        <v/>
      </c>
      <c r="I24" s="8">
        <f>IF(H24&gt;=70,"🔴 URGENT — Review Now",IF(H24&gt;=50,"🟡 Needs Work",IF(H24&gt;=30,"🟢 On Track","✅ Mastered")))</f>
        <v/>
      </c>
    </row>
    <row r="25">
      <c r="B25" s="57" t="n">
        <v>20</v>
      </c>
      <c r="C25" s="22">
        <f>INDEX('Topic Analysis'!$B:$B,MATCH(LARGE('Topic Analysis'!$M$6:$M$99+ROW('Topic Analysis'!$M$6:$M$99)/100000,20),'Topic Analysis'!$M$6:$M$99+ROW('Topic Analysis'!$M$6:$M$99)/100000,0)+5)</f>
        <v/>
      </c>
      <c r="D25" s="10">
        <f>INDEX('Topic Analysis'!$C:$C,MATCH(LARGE('Topic Analysis'!$M$6:$M$99+ROW('Topic Analysis'!$M$6:$M$99)/100000,20),'Topic Analysis'!$M$6:$M$99+ROW('Topic Analysis'!$M$6:$M$99)/100000,0)+5)</f>
        <v/>
      </c>
      <c r="E25" s="10">
        <f>INDEX('Topic Analysis'!$D:$D,MATCH(LARGE('Topic Analysis'!$M$6:$M$99+ROW('Topic Analysis'!$M$6:$M$99)/100000,20),'Topic Analysis'!$M$6:$M$99+ROW('Topic Analysis'!$M$6:$M$99)/100000,0)+5)</f>
        <v/>
      </c>
      <c r="F25" s="22">
        <f>INDEX('Topic Analysis'!$E:$E,MATCH(LARGE('Topic Analysis'!$M$6:$M$99+ROW('Topic Analysis'!$M$6:$M$99)/100000,20),'Topic Analysis'!$M$6:$M$99+ROW('Topic Analysis'!$M$6:$M$99)/100000,0)+5)+INDEX('Topic Analysis'!$G:$G,MATCH(LARGE('Topic Analysis'!$M$6:$M$99+ROW('Topic Analysis'!$M$6:$M$99)/100000,20),'Topic Analysis'!$M$6:$M$99+ROW('Topic Analysis'!$M$6:$M$99)/100000,0)+5)</f>
        <v/>
      </c>
      <c r="G25" s="49">
        <f>IFERROR(INDEX('Topic Analysis'!$I:$I,MATCH(LARGE('Topic Analysis'!$M$6:$M$99+ROW('Topic Analysis'!$M$6:$M$99)/100000,20),'Topic Analysis'!$M$6:$M$99+ROW('Topic Analysis'!$M$6:$M$99)/100000,0)+5),"—")</f>
        <v/>
      </c>
      <c r="H25" s="58">
        <f>INDEX('Topic Analysis'!$M:$M,MATCH(LARGE('Topic Analysis'!$M$6:$M$99+ROW('Topic Analysis'!$M$6:$M$99)/100000,20),'Topic Analysis'!$M$6:$M$99+ROW('Topic Analysis'!$M$6:$M$99)/100000,0)+5)</f>
        <v/>
      </c>
      <c r="I25" s="10">
        <f>IF(H25&gt;=70,"🔴 URGENT — Review Now",IF(H25&gt;=50,"🟡 Needs Work",IF(H25&gt;=30,"🟢 On Track","✅ Mastered")))</f>
        <v/>
      </c>
    </row>
    <row r="26">
      <c r="B26" s="55" t="n">
        <v>21</v>
      </c>
      <c r="C26" s="16">
        <f>INDEX('Topic Analysis'!$B:$B,MATCH(LARGE('Topic Analysis'!$M$6:$M$99+ROW('Topic Analysis'!$M$6:$M$99)/100000,21),'Topic Analysis'!$M$6:$M$99+ROW('Topic Analysis'!$M$6:$M$99)/100000,0)+5)</f>
        <v/>
      </c>
      <c r="D26" s="8">
        <f>INDEX('Topic Analysis'!$C:$C,MATCH(LARGE('Topic Analysis'!$M$6:$M$99+ROW('Topic Analysis'!$M$6:$M$99)/100000,21),'Topic Analysis'!$M$6:$M$99+ROW('Topic Analysis'!$M$6:$M$99)/100000,0)+5)</f>
        <v/>
      </c>
      <c r="E26" s="8">
        <f>INDEX('Topic Analysis'!$D:$D,MATCH(LARGE('Topic Analysis'!$M$6:$M$99+ROW('Topic Analysis'!$M$6:$M$99)/100000,21),'Topic Analysis'!$M$6:$M$99+ROW('Topic Analysis'!$M$6:$M$99)/100000,0)+5)</f>
        <v/>
      </c>
      <c r="F26" s="16">
        <f>INDEX('Topic Analysis'!$E:$E,MATCH(LARGE('Topic Analysis'!$M$6:$M$99+ROW('Topic Analysis'!$M$6:$M$99)/100000,21),'Topic Analysis'!$M$6:$M$99+ROW('Topic Analysis'!$M$6:$M$99)/100000,0)+5)+INDEX('Topic Analysis'!$G:$G,MATCH(LARGE('Topic Analysis'!$M$6:$M$99+ROW('Topic Analysis'!$M$6:$M$99)/100000,21),'Topic Analysis'!$M$6:$M$99+ROW('Topic Analysis'!$M$6:$M$99)/100000,0)+5)</f>
        <v/>
      </c>
      <c r="G26" s="48">
        <f>IFERROR(INDEX('Topic Analysis'!$I:$I,MATCH(LARGE('Topic Analysis'!$M$6:$M$99+ROW('Topic Analysis'!$M$6:$M$99)/100000,21),'Topic Analysis'!$M$6:$M$99+ROW('Topic Analysis'!$M$6:$M$99)/100000,0)+5),"—")</f>
        <v/>
      </c>
      <c r="H26" s="56">
        <f>INDEX('Topic Analysis'!$M:$M,MATCH(LARGE('Topic Analysis'!$M$6:$M$99+ROW('Topic Analysis'!$M$6:$M$99)/100000,21),'Topic Analysis'!$M$6:$M$99+ROW('Topic Analysis'!$M$6:$M$99)/100000,0)+5)</f>
        <v/>
      </c>
      <c r="I26" s="8">
        <f>IF(H26&gt;=70,"🔴 URGENT — Review Now",IF(H26&gt;=50,"🟡 Needs Work",IF(H26&gt;=30,"🟢 On Track","✅ Mastered")))</f>
        <v/>
      </c>
    </row>
    <row r="27">
      <c r="B27" s="57" t="n">
        <v>22</v>
      </c>
      <c r="C27" s="22">
        <f>INDEX('Topic Analysis'!$B:$B,MATCH(LARGE('Topic Analysis'!$M$6:$M$99+ROW('Topic Analysis'!$M$6:$M$99)/100000,22),'Topic Analysis'!$M$6:$M$99+ROW('Topic Analysis'!$M$6:$M$99)/100000,0)+5)</f>
        <v/>
      </c>
      <c r="D27" s="10">
        <f>INDEX('Topic Analysis'!$C:$C,MATCH(LARGE('Topic Analysis'!$M$6:$M$99+ROW('Topic Analysis'!$M$6:$M$99)/100000,22),'Topic Analysis'!$M$6:$M$99+ROW('Topic Analysis'!$M$6:$M$99)/100000,0)+5)</f>
        <v/>
      </c>
      <c r="E27" s="10">
        <f>INDEX('Topic Analysis'!$D:$D,MATCH(LARGE('Topic Analysis'!$M$6:$M$99+ROW('Topic Analysis'!$M$6:$M$99)/100000,22),'Topic Analysis'!$M$6:$M$99+ROW('Topic Analysis'!$M$6:$M$99)/100000,0)+5)</f>
        <v/>
      </c>
      <c r="F27" s="22">
        <f>INDEX('Topic Analysis'!$E:$E,MATCH(LARGE('Topic Analysis'!$M$6:$M$99+ROW('Topic Analysis'!$M$6:$M$99)/100000,22),'Topic Analysis'!$M$6:$M$99+ROW('Topic Analysis'!$M$6:$M$99)/100000,0)+5)+INDEX('Topic Analysis'!$G:$G,MATCH(LARGE('Topic Analysis'!$M$6:$M$99+ROW('Topic Analysis'!$M$6:$M$99)/100000,22),'Topic Analysis'!$M$6:$M$99+ROW('Topic Analysis'!$M$6:$M$99)/100000,0)+5)</f>
        <v/>
      </c>
      <c r="G27" s="49">
        <f>IFERROR(INDEX('Topic Analysis'!$I:$I,MATCH(LARGE('Topic Analysis'!$M$6:$M$99+ROW('Topic Analysis'!$M$6:$M$99)/100000,22),'Topic Analysis'!$M$6:$M$99+ROW('Topic Analysis'!$M$6:$M$99)/100000,0)+5),"—")</f>
        <v/>
      </c>
      <c r="H27" s="58">
        <f>INDEX('Topic Analysis'!$M:$M,MATCH(LARGE('Topic Analysis'!$M$6:$M$99+ROW('Topic Analysis'!$M$6:$M$99)/100000,22),'Topic Analysis'!$M$6:$M$99+ROW('Topic Analysis'!$M$6:$M$99)/100000,0)+5)</f>
        <v/>
      </c>
      <c r="I27" s="10">
        <f>IF(H27&gt;=70,"🔴 URGENT — Review Now",IF(H27&gt;=50,"🟡 Needs Work",IF(H27&gt;=30,"🟢 On Track","✅ Mastered")))</f>
        <v/>
      </c>
    </row>
    <row r="28">
      <c r="B28" s="55" t="n">
        <v>23</v>
      </c>
      <c r="C28" s="16">
        <f>INDEX('Topic Analysis'!$B:$B,MATCH(LARGE('Topic Analysis'!$M$6:$M$99+ROW('Topic Analysis'!$M$6:$M$99)/100000,23),'Topic Analysis'!$M$6:$M$99+ROW('Topic Analysis'!$M$6:$M$99)/100000,0)+5)</f>
        <v/>
      </c>
      <c r="D28" s="8">
        <f>INDEX('Topic Analysis'!$C:$C,MATCH(LARGE('Topic Analysis'!$M$6:$M$99+ROW('Topic Analysis'!$M$6:$M$99)/100000,23),'Topic Analysis'!$M$6:$M$99+ROW('Topic Analysis'!$M$6:$M$99)/100000,0)+5)</f>
        <v/>
      </c>
      <c r="E28" s="8">
        <f>INDEX('Topic Analysis'!$D:$D,MATCH(LARGE('Topic Analysis'!$M$6:$M$99+ROW('Topic Analysis'!$M$6:$M$99)/100000,23),'Topic Analysis'!$M$6:$M$99+ROW('Topic Analysis'!$M$6:$M$99)/100000,0)+5)</f>
        <v/>
      </c>
      <c r="F28" s="16">
        <f>INDEX('Topic Analysis'!$E:$E,MATCH(LARGE('Topic Analysis'!$M$6:$M$99+ROW('Topic Analysis'!$M$6:$M$99)/100000,23),'Topic Analysis'!$M$6:$M$99+ROW('Topic Analysis'!$M$6:$M$99)/100000,0)+5)+INDEX('Topic Analysis'!$G:$G,MATCH(LARGE('Topic Analysis'!$M$6:$M$99+ROW('Topic Analysis'!$M$6:$M$99)/100000,23),'Topic Analysis'!$M$6:$M$99+ROW('Topic Analysis'!$M$6:$M$99)/100000,0)+5)</f>
        <v/>
      </c>
      <c r="G28" s="48">
        <f>IFERROR(INDEX('Topic Analysis'!$I:$I,MATCH(LARGE('Topic Analysis'!$M$6:$M$99+ROW('Topic Analysis'!$M$6:$M$99)/100000,23),'Topic Analysis'!$M$6:$M$99+ROW('Topic Analysis'!$M$6:$M$99)/100000,0)+5),"—")</f>
        <v/>
      </c>
      <c r="H28" s="56">
        <f>INDEX('Topic Analysis'!$M:$M,MATCH(LARGE('Topic Analysis'!$M$6:$M$99+ROW('Topic Analysis'!$M$6:$M$99)/100000,23),'Topic Analysis'!$M$6:$M$99+ROW('Topic Analysis'!$M$6:$M$99)/100000,0)+5)</f>
        <v/>
      </c>
      <c r="I28" s="8">
        <f>IF(H28&gt;=70,"🔴 URGENT — Review Now",IF(H28&gt;=50,"🟡 Needs Work",IF(H28&gt;=30,"🟢 On Track","✅ Mastered")))</f>
        <v/>
      </c>
    </row>
    <row r="29">
      <c r="B29" s="57" t="n">
        <v>24</v>
      </c>
      <c r="C29" s="22">
        <f>INDEX('Topic Analysis'!$B:$B,MATCH(LARGE('Topic Analysis'!$M$6:$M$99+ROW('Topic Analysis'!$M$6:$M$99)/100000,24),'Topic Analysis'!$M$6:$M$99+ROW('Topic Analysis'!$M$6:$M$99)/100000,0)+5)</f>
        <v/>
      </c>
      <c r="D29" s="10">
        <f>INDEX('Topic Analysis'!$C:$C,MATCH(LARGE('Topic Analysis'!$M$6:$M$99+ROW('Topic Analysis'!$M$6:$M$99)/100000,24),'Topic Analysis'!$M$6:$M$99+ROW('Topic Analysis'!$M$6:$M$99)/100000,0)+5)</f>
        <v/>
      </c>
      <c r="E29" s="10">
        <f>INDEX('Topic Analysis'!$D:$D,MATCH(LARGE('Topic Analysis'!$M$6:$M$99+ROW('Topic Analysis'!$M$6:$M$99)/100000,24),'Topic Analysis'!$M$6:$M$99+ROW('Topic Analysis'!$M$6:$M$99)/100000,0)+5)</f>
        <v/>
      </c>
      <c r="F29" s="22">
        <f>INDEX('Topic Analysis'!$E:$E,MATCH(LARGE('Topic Analysis'!$M$6:$M$99+ROW('Topic Analysis'!$M$6:$M$99)/100000,24),'Topic Analysis'!$M$6:$M$99+ROW('Topic Analysis'!$M$6:$M$99)/100000,0)+5)+INDEX('Topic Analysis'!$G:$G,MATCH(LARGE('Topic Analysis'!$M$6:$M$99+ROW('Topic Analysis'!$M$6:$M$99)/100000,24),'Topic Analysis'!$M$6:$M$99+ROW('Topic Analysis'!$M$6:$M$99)/100000,0)+5)</f>
        <v/>
      </c>
      <c r="G29" s="49">
        <f>IFERROR(INDEX('Topic Analysis'!$I:$I,MATCH(LARGE('Topic Analysis'!$M$6:$M$99+ROW('Topic Analysis'!$M$6:$M$99)/100000,24),'Topic Analysis'!$M$6:$M$99+ROW('Topic Analysis'!$M$6:$M$99)/100000,0)+5),"—")</f>
        <v/>
      </c>
      <c r="H29" s="58">
        <f>INDEX('Topic Analysis'!$M:$M,MATCH(LARGE('Topic Analysis'!$M$6:$M$99+ROW('Topic Analysis'!$M$6:$M$99)/100000,24),'Topic Analysis'!$M$6:$M$99+ROW('Topic Analysis'!$M$6:$M$99)/100000,0)+5)</f>
        <v/>
      </c>
      <c r="I29" s="10">
        <f>IF(H29&gt;=70,"🔴 URGENT — Review Now",IF(H29&gt;=50,"🟡 Needs Work",IF(H29&gt;=30,"🟢 On Track","✅ Mastered")))</f>
        <v/>
      </c>
    </row>
    <row r="30">
      <c r="B30" s="55" t="n">
        <v>25</v>
      </c>
      <c r="C30" s="16">
        <f>INDEX('Topic Analysis'!$B:$B,MATCH(LARGE('Topic Analysis'!$M$6:$M$99+ROW('Topic Analysis'!$M$6:$M$99)/100000,25),'Topic Analysis'!$M$6:$M$99+ROW('Topic Analysis'!$M$6:$M$99)/100000,0)+5)</f>
        <v/>
      </c>
      <c r="D30" s="8">
        <f>INDEX('Topic Analysis'!$C:$C,MATCH(LARGE('Topic Analysis'!$M$6:$M$99+ROW('Topic Analysis'!$M$6:$M$99)/100000,25),'Topic Analysis'!$M$6:$M$99+ROW('Topic Analysis'!$M$6:$M$99)/100000,0)+5)</f>
        <v/>
      </c>
      <c r="E30" s="8">
        <f>INDEX('Topic Analysis'!$D:$D,MATCH(LARGE('Topic Analysis'!$M$6:$M$99+ROW('Topic Analysis'!$M$6:$M$99)/100000,25),'Topic Analysis'!$M$6:$M$99+ROW('Topic Analysis'!$M$6:$M$99)/100000,0)+5)</f>
        <v/>
      </c>
      <c r="F30" s="16">
        <f>INDEX('Topic Analysis'!$E:$E,MATCH(LARGE('Topic Analysis'!$M$6:$M$99+ROW('Topic Analysis'!$M$6:$M$99)/100000,25),'Topic Analysis'!$M$6:$M$99+ROW('Topic Analysis'!$M$6:$M$99)/100000,0)+5)+INDEX('Topic Analysis'!$G:$G,MATCH(LARGE('Topic Analysis'!$M$6:$M$99+ROW('Topic Analysis'!$M$6:$M$99)/100000,25),'Topic Analysis'!$M$6:$M$99+ROW('Topic Analysis'!$M$6:$M$99)/100000,0)+5)</f>
        <v/>
      </c>
      <c r="G30" s="48">
        <f>IFERROR(INDEX('Topic Analysis'!$I:$I,MATCH(LARGE('Topic Analysis'!$M$6:$M$99+ROW('Topic Analysis'!$M$6:$M$99)/100000,25),'Topic Analysis'!$M$6:$M$99+ROW('Topic Analysis'!$M$6:$M$99)/100000,0)+5),"—")</f>
        <v/>
      </c>
      <c r="H30" s="56">
        <f>INDEX('Topic Analysis'!$M:$M,MATCH(LARGE('Topic Analysis'!$M$6:$M$99+ROW('Topic Analysis'!$M$6:$M$99)/100000,25),'Topic Analysis'!$M$6:$M$99+ROW('Topic Analysis'!$M$6:$M$99)/100000,0)+5)</f>
        <v/>
      </c>
      <c r="I30" s="8">
        <f>IF(H30&gt;=70,"🔴 URGENT — Review Now",IF(H30&gt;=50,"🟡 Needs Work",IF(H30&gt;=30,"🟢 On Track","✅ Mastered")))</f>
        <v/>
      </c>
    </row>
    <row r="31">
      <c r="B31" s="57" t="n">
        <v>26</v>
      </c>
      <c r="C31" s="22">
        <f>INDEX('Topic Analysis'!$B:$B,MATCH(LARGE('Topic Analysis'!$M$6:$M$99+ROW('Topic Analysis'!$M$6:$M$99)/100000,26),'Topic Analysis'!$M$6:$M$99+ROW('Topic Analysis'!$M$6:$M$99)/100000,0)+5)</f>
        <v/>
      </c>
      <c r="D31" s="10">
        <f>INDEX('Topic Analysis'!$C:$C,MATCH(LARGE('Topic Analysis'!$M$6:$M$99+ROW('Topic Analysis'!$M$6:$M$99)/100000,26),'Topic Analysis'!$M$6:$M$99+ROW('Topic Analysis'!$M$6:$M$99)/100000,0)+5)</f>
        <v/>
      </c>
      <c r="E31" s="10">
        <f>INDEX('Topic Analysis'!$D:$D,MATCH(LARGE('Topic Analysis'!$M$6:$M$99+ROW('Topic Analysis'!$M$6:$M$99)/100000,26),'Topic Analysis'!$M$6:$M$99+ROW('Topic Analysis'!$M$6:$M$99)/100000,0)+5)</f>
        <v/>
      </c>
      <c r="F31" s="22">
        <f>INDEX('Topic Analysis'!$E:$E,MATCH(LARGE('Topic Analysis'!$M$6:$M$99+ROW('Topic Analysis'!$M$6:$M$99)/100000,26),'Topic Analysis'!$M$6:$M$99+ROW('Topic Analysis'!$M$6:$M$99)/100000,0)+5)+INDEX('Topic Analysis'!$G:$G,MATCH(LARGE('Topic Analysis'!$M$6:$M$99+ROW('Topic Analysis'!$M$6:$M$99)/100000,26),'Topic Analysis'!$M$6:$M$99+ROW('Topic Analysis'!$M$6:$M$99)/100000,0)+5)</f>
        <v/>
      </c>
      <c r="G31" s="49">
        <f>IFERROR(INDEX('Topic Analysis'!$I:$I,MATCH(LARGE('Topic Analysis'!$M$6:$M$99+ROW('Topic Analysis'!$M$6:$M$99)/100000,26),'Topic Analysis'!$M$6:$M$99+ROW('Topic Analysis'!$M$6:$M$99)/100000,0)+5),"—")</f>
        <v/>
      </c>
      <c r="H31" s="58">
        <f>INDEX('Topic Analysis'!$M:$M,MATCH(LARGE('Topic Analysis'!$M$6:$M$99+ROW('Topic Analysis'!$M$6:$M$99)/100000,26),'Topic Analysis'!$M$6:$M$99+ROW('Topic Analysis'!$M$6:$M$99)/100000,0)+5)</f>
        <v/>
      </c>
      <c r="I31" s="10">
        <f>IF(H31&gt;=70,"🔴 URGENT — Review Now",IF(H31&gt;=50,"🟡 Needs Work",IF(H31&gt;=30,"🟢 On Track","✅ Mastered")))</f>
        <v/>
      </c>
    </row>
    <row r="32">
      <c r="B32" s="55" t="n">
        <v>27</v>
      </c>
      <c r="C32" s="16">
        <f>INDEX('Topic Analysis'!$B:$B,MATCH(LARGE('Topic Analysis'!$M$6:$M$99+ROW('Topic Analysis'!$M$6:$M$99)/100000,27),'Topic Analysis'!$M$6:$M$99+ROW('Topic Analysis'!$M$6:$M$99)/100000,0)+5)</f>
        <v/>
      </c>
      <c r="D32" s="8">
        <f>INDEX('Topic Analysis'!$C:$C,MATCH(LARGE('Topic Analysis'!$M$6:$M$99+ROW('Topic Analysis'!$M$6:$M$99)/100000,27),'Topic Analysis'!$M$6:$M$99+ROW('Topic Analysis'!$M$6:$M$99)/100000,0)+5)</f>
        <v/>
      </c>
      <c r="E32" s="8">
        <f>INDEX('Topic Analysis'!$D:$D,MATCH(LARGE('Topic Analysis'!$M$6:$M$99+ROW('Topic Analysis'!$M$6:$M$99)/100000,27),'Topic Analysis'!$M$6:$M$99+ROW('Topic Analysis'!$M$6:$M$99)/100000,0)+5)</f>
        <v/>
      </c>
      <c r="F32" s="16">
        <f>INDEX('Topic Analysis'!$E:$E,MATCH(LARGE('Topic Analysis'!$M$6:$M$99+ROW('Topic Analysis'!$M$6:$M$99)/100000,27),'Topic Analysis'!$M$6:$M$99+ROW('Topic Analysis'!$M$6:$M$99)/100000,0)+5)+INDEX('Topic Analysis'!$G:$G,MATCH(LARGE('Topic Analysis'!$M$6:$M$99+ROW('Topic Analysis'!$M$6:$M$99)/100000,27),'Topic Analysis'!$M$6:$M$99+ROW('Topic Analysis'!$M$6:$M$99)/100000,0)+5)</f>
        <v/>
      </c>
      <c r="G32" s="48">
        <f>IFERROR(INDEX('Topic Analysis'!$I:$I,MATCH(LARGE('Topic Analysis'!$M$6:$M$99+ROW('Topic Analysis'!$M$6:$M$99)/100000,27),'Topic Analysis'!$M$6:$M$99+ROW('Topic Analysis'!$M$6:$M$99)/100000,0)+5),"—")</f>
        <v/>
      </c>
      <c r="H32" s="56">
        <f>INDEX('Topic Analysis'!$M:$M,MATCH(LARGE('Topic Analysis'!$M$6:$M$99+ROW('Topic Analysis'!$M$6:$M$99)/100000,27),'Topic Analysis'!$M$6:$M$99+ROW('Topic Analysis'!$M$6:$M$99)/100000,0)+5)</f>
        <v/>
      </c>
      <c r="I32" s="8">
        <f>IF(H32&gt;=70,"🔴 URGENT — Review Now",IF(H32&gt;=50,"🟡 Needs Work",IF(H32&gt;=30,"🟢 On Track","✅ Mastered")))</f>
        <v/>
      </c>
    </row>
    <row r="33">
      <c r="B33" s="57" t="n">
        <v>28</v>
      </c>
      <c r="C33" s="22">
        <f>INDEX('Topic Analysis'!$B:$B,MATCH(LARGE('Topic Analysis'!$M$6:$M$99+ROW('Topic Analysis'!$M$6:$M$99)/100000,28),'Topic Analysis'!$M$6:$M$99+ROW('Topic Analysis'!$M$6:$M$99)/100000,0)+5)</f>
        <v/>
      </c>
      <c r="D33" s="10">
        <f>INDEX('Topic Analysis'!$C:$C,MATCH(LARGE('Topic Analysis'!$M$6:$M$99+ROW('Topic Analysis'!$M$6:$M$99)/100000,28),'Topic Analysis'!$M$6:$M$99+ROW('Topic Analysis'!$M$6:$M$99)/100000,0)+5)</f>
        <v/>
      </c>
      <c r="E33" s="10">
        <f>INDEX('Topic Analysis'!$D:$D,MATCH(LARGE('Topic Analysis'!$M$6:$M$99+ROW('Topic Analysis'!$M$6:$M$99)/100000,28),'Topic Analysis'!$M$6:$M$99+ROW('Topic Analysis'!$M$6:$M$99)/100000,0)+5)</f>
        <v/>
      </c>
      <c r="F33" s="22">
        <f>INDEX('Topic Analysis'!$E:$E,MATCH(LARGE('Topic Analysis'!$M$6:$M$99+ROW('Topic Analysis'!$M$6:$M$99)/100000,28),'Topic Analysis'!$M$6:$M$99+ROW('Topic Analysis'!$M$6:$M$99)/100000,0)+5)+INDEX('Topic Analysis'!$G:$G,MATCH(LARGE('Topic Analysis'!$M$6:$M$99+ROW('Topic Analysis'!$M$6:$M$99)/100000,28),'Topic Analysis'!$M$6:$M$99+ROW('Topic Analysis'!$M$6:$M$99)/100000,0)+5)</f>
        <v/>
      </c>
      <c r="G33" s="49">
        <f>IFERROR(INDEX('Topic Analysis'!$I:$I,MATCH(LARGE('Topic Analysis'!$M$6:$M$99+ROW('Topic Analysis'!$M$6:$M$99)/100000,28),'Topic Analysis'!$M$6:$M$99+ROW('Topic Analysis'!$M$6:$M$99)/100000,0)+5),"—")</f>
        <v/>
      </c>
      <c r="H33" s="58">
        <f>INDEX('Topic Analysis'!$M:$M,MATCH(LARGE('Topic Analysis'!$M$6:$M$99+ROW('Topic Analysis'!$M$6:$M$99)/100000,28),'Topic Analysis'!$M$6:$M$99+ROW('Topic Analysis'!$M$6:$M$99)/100000,0)+5)</f>
        <v/>
      </c>
      <c r="I33" s="10">
        <f>IF(H33&gt;=70,"🔴 URGENT — Review Now",IF(H33&gt;=50,"🟡 Needs Work",IF(H33&gt;=30,"🟢 On Track","✅ Mastered")))</f>
        <v/>
      </c>
    </row>
    <row r="34">
      <c r="B34" s="55" t="n">
        <v>29</v>
      </c>
      <c r="C34" s="16">
        <f>INDEX('Topic Analysis'!$B:$B,MATCH(LARGE('Topic Analysis'!$M$6:$M$99+ROW('Topic Analysis'!$M$6:$M$99)/100000,29),'Topic Analysis'!$M$6:$M$99+ROW('Topic Analysis'!$M$6:$M$99)/100000,0)+5)</f>
        <v/>
      </c>
      <c r="D34" s="8">
        <f>INDEX('Topic Analysis'!$C:$C,MATCH(LARGE('Topic Analysis'!$M$6:$M$99+ROW('Topic Analysis'!$M$6:$M$99)/100000,29),'Topic Analysis'!$M$6:$M$99+ROW('Topic Analysis'!$M$6:$M$99)/100000,0)+5)</f>
        <v/>
      </c>
      <c r="E34" s="8">
        <f>INDEX('Topic Analysis'!$D:$D,MATCH(LARGE('Topic Analysis'!$M$6:$M$99+ROW('Topic Analysis'!$M$6:$M$99)/100000,29),'Topic Analysis'!$M$6:$M$99+ROW('Topic Analysis'!$M$6:$M$99)/100000,0)+5)</f>
        <v/>
      </c>
      <c r="F34" s="16">
        <f>INDEX('Topic Analysis'!$E:$E,MATCH(LARGE('Topic Analysis'!$M$6:$M$99+ROW('Topic Analysis'!$M$6:$M$99)/100000,29),'Topic Analysis'!$M$6:$M$99+ROW('Topic Analysis'!$M$6:$M$99)/100000,0)+5)+INDEX('Topic Analysis'!$G:$G,MATCH(LARGE('Topic Analysis'!$M$6:$M$99+ROW('Topic Analysis'!$M$6:$M$99)/100000,29),'Topic Analysis'!$M$6:$M$99+ROW('Topic Analysis'!$M$6:$M$99)/100000,0)+5)</f>
        <v/>
      </c>
      <c r="G34" s="48">
        <f>IFERROR(INDEX('Topic Analysis'!$I:$I,MATCH(LARGE('Topic Analysis'!$M$6:$M$99+ROW('Topic Analysis'!$M$6:$M$99)/100000,29),'Topic Analysis'!$M$6:$M$99+ROW('Topic Analysis'!$M$6:$M$99)/100000,0)+5),"—")</f>
        <v/>
      </c>
      <c r="H34" s="56">
        <f>INDEX('Topic Analysis'!$M:$M,MATCH(LARGE('Topic Analysis'!$M$6:$M$99+ROW('Topic Analysis'!$M$6:$M$99)/100000,29),'Topic Analysis'!$M$6:$M$99+ROW('Topic Analysis'!$M$6:$M$99)/100000,0)+5)</f>
        <v/>
      </c>
      <c r="I34" s="8">
        <f>IF(H34&gt;=70,"🔴 URGENT — Review Now",IF(H34&gt;=50,"🟡 Needs Work",IF(H34&gt;=30,"🟢 On Track","✅ Mastered")))</f>
        <v/>
      </c>
    </row>
    <row r="35">
      <c r="B35" s="57" t="n">
        <v>30</v>
      </c>
      <c r="C35" s="22">
        <f>INDEX('Topic Analysis'!$B:$B,MATCH(LARGE('Topic Analysis'!$M$6:$M$99+ROW('Topic Analysis'!$M$6:$M$99)/100000,30),'Topic Analysis'!$M$6:$M$99+ROW('Topic Analysis'!$M$6:$M$99)/100000,0)+5)</f>
        <v/>
      </c>
      <c r="D35" s="10">
        <f>INDEX('Topic Analysis'!$C:$C,MATCH(LARGE('Topic Analysis'!$M$6:$M$99+ROW('Topic Analysis'!$M$6:$M$99)/100000,30),'Topic Analysis'!$M$6:$M$99+ROW('Topic Analysis'!$M$6:$M$99)/100000,0)+5)</f>
        <v/>
      </c>
      <c r="E35" s="10">
        <f>INDEX('Topic Analysis'!$D:$D,MATCH(LARGE('Topic Analysis'!$M$6:$M$99+ROW('Topic Analysis'!$M$6:$M$99)/100000,30),'Topic Analysis'!$M$6:$M$99+ROW('Topic Analysis'!$M$6:$M$99)/100000,0)+5)</f>
        <v/>
      </c>
      <c r="F35" s="22">
        <f>INDEX('Topic Analysis'!$E:$E,MATCH(LARGE('Topic Analysis'!$M$6:$M$99+ROW('Topic Analysis'!$M$6:$M$99)/100000,30),'Topic Analysis'!$M$6:$M$99+ROW('Topic Analysis'!$M$6:$M$99)/100000,0)+5)+INDEX('Topic Analysis'!$G:$G,MATCH(LARGE('Topic Analysis'!$M$6:$M$99+ROW('Topic Analysis'!$M$6:$M$99)/100000,30),'Topic Analysis'!$M$6:$M$99+ROW('Topic Analysis'!$M$6:$M$99)/100000,0)+5)</f>
        <v/>
      </c>
      <c r="G35" s="49">
        <f>IFERROR(INDEX('Topic Analysis'!$I:$I,MATCH(LARGE('Topic Analysis'!$M$6:$M$99+ROW('Topic Analysis'!$M$6:$M$99)/100000,30),'Topic Analysis'!$M$6:$M$99+ROW('Topic Analysis'!$M$6:$M$99)/100000,0)+5),"—")</f>
        <v/>
      </c>
      <c r="H35" s="58">
        <f>INDEX('Topic Analysis'!$M:$M,MATCH(LARGE('Topic Analysis'!$M$6:$M$99+ROW('Topic Analysis'!$M$6:$M$99)/100000,30),'Topic Analysis'!$M$6:$M$99+ROW('Topic Analysis'!$M$6:$M$99)/100000,0)+5)</f>
        <v/>
      </c>
      <c r="I35" s="10">
        <f>IF(H35&gt;=70,"🔴 URGENT — Review Now",IF(H35&gt;=50,"🟡 Needs Work",IF(H35&gt;=30,"🟢 On Track","✅ Mastered")))</f>
        <v/>
      </c>
    </row>
    <row r="36">
      <c r="B36" s="55" t="n">
        <v>31</v>
      </c>
      <c r="C36" s="16">
        <f>INDEX('Topic Analysis'!$B:$B,MATCH(LARGE('Topic Analysis'!$M$6:$M$99+ROW('Topic Analysis'!$M$6:$M$99)/100000,31),'Topic Analysis'!$M$6:$M$99+ROW('Topic Analysis'!$M$6:$M$99)/100000,0)+5)</f>
        <v/>
      </c>
      <c r="D36" s="8">
        <f>INDEX('Topic Analysis'!$C:$C,MATCH(LARGE('Topic Analysis'!$M$6:$M$99+ROW('Topic Analysis'!$M$6:$M$99)/100000,31),'Topic Analysis'!$M$6:$M$99+ROW('Topic Analysis'!$M$6:$M$99)/100000,0)+5)</f>
        <v/>
      </c>
      <c r="E36" s="8">
        <f>INDEX('Topic Analysis'!$D:$D,MATCH(LARGE('Topic Analysis'!$M$6:$M$99+ROW('Topic Analysis'!$M$6:$M$99)/100000,31),'Topic Analysis'!$M$6:$M$99+ROW('Topic Analysis'!$M$6:$M$99)/100000,0)+5)</f>
        <v/>
      </c>
      <c r="F36" s="16">
        <f>INDEX('Topic Analysis'!$E:$E,MATCH(LARGE('Topic Analysis'!$M$6:$M$99+ROW('Topic Analysis'!$M$6:$M$99)/100000,31),'Topic Analysis'!$M$6:$M$99+ROW('Topic Analysis'!$M$6:$M$99)/100000,0)+5)+INDEX('Topic Analysis'!$G:$G,MATCH(LARGE('Topic Analysis'!$M$6:$M$99+ROW('Topic Analysis'!$M$6:$M$99)/100000,31),'Topic Analysis'!$M$6:$M$99+ROW('Topic Analysis'!$M$6:$M$99)/100000,0)+5)</f>
        <v/>
      </c>
      <c r="G36" s="48">
        <f>IFERROR(INDEX('Topic Analysis'!$I:$I,MATCH(LARGE('Topic Analysis'!$M$6:$M$99+ROW('Topic Analysis'!$M$6:$M$99)/100000,31),'Topic Analysis'!$M$6:$M$99+ROW('Topic Analysis'!$M$6:$M$99)/100000,0)+5),"—")</f>
        <v/>
      </c>
      <c r="H36" s="56">
        <f>INDEX('Topic Analysis'!$M:$M,MATCH(LARGE('Topic Analysis'!$M$6:$M$99+ROW('Topic Analysis'!$M$6:$M$99)/100000,31),'Topic Analysis'!$M$6:$M$99+ROW('Topic Analysis'!$M$6:$M$99)/100000,0)+5)</f>
        <v/>
      </c>
      <c r="I36" s="8">
        <f>IF(H36&gt;=70,"🔴 URGENT — Review Now",IF(H36&gt;=50,"🟡 Needs Work",IF(H36&gt;=30,"🟢 On Track","✅ Mastered")))</f>
        <v/>
      </c>
    </row>
    <row r="37">
      <c r="B37" s="57" t="n">
        <v>32</v>
      </c>
      <c r="C37" s="22">
        <f>INDEX('Topic Analysis'!$B:$B,MATCH(LARGE('Topic Analysis'!$M$6:$M$99+ROW('Topic Analysis'!$M$6:$M$99)/100000,32),'Topic Analysis'!$M$6:$M$99+ROW('Topic Analysis'!$M$6:$M$99)/100000,0)+5)</f>
        <v/>
      </c>
      <c r="D37" s="10">
        <f>INDEX('Topic Analysis'!$C:$C,MATCH(LARGE('Topic Analysis'!$M$6:$M$99+ROW('Topic Analysis'!$M$6:$M$99)/100000,32),'Topic Analysis'!$M$6:$M$99+ROW('Topic Analysis'!$M$6:$M$99)/100000,0)+5)</f>
        <v/>
      </c>
      <c r="E37" s="10">
        <f>INDEX('Topic Analysis'!$D:$D,MATCH(LARGE('Topic Analysis'!$M$6:$M$99+ROW('Topic Analysis'!$M$6:$M$99)/100000,32),'Topic Analysis'!$M$6:$M$99+ROW('Topic Analysis'!$M$6:$M$99)/100000,0)+5)</f>
        <v/>
      </c>
      <c r="F37" s="22">
        <f>INDEX('Topic Analysis'!$E:$E,MATCH(LARGE('Topic Analysis'!$M$6:$M$99+ROW('Topic Analysis'!$M$6:$M$99)/100000,32),'Topic Analysis'!$M$6:$M$99+ROW('Topic Analysis'!$M$6:$M$99)/100000,0)+5)+INDEX('Topic Analysis'!$G:$G,MATCH(LARGE('Topic Analysis'!$M$6:$M$99+ROW('Topic Analysis'!$M$6:$M$99)/100000,32),'Topic Analysis'!$M$6:$M$99+ROW('Topic Analysis'!$M$6:$M$99)/100000,0)+5)</f>
        <v/>
      </c>
      <c r="G37" s="49">
        <f>IFERROR(INDEX('Topic Analysis'!$I:$I,MATCH(LARGE('Topic Analysis'!$M$6:$M$99+ROW('Topic Analysis'!$M$6:$M$99)/100000,32),'Topic Analysis'!$M$6:$M$99+ROW('Topic Analysis'!$M$6:$M$99)/100000,0)+5),"—")</f>
        <v/>
      </c>
      <c r="H37" s="58">
        <f>INDEX('Topic Analysis'!$M:$M,MATCH(LARGE('Topic Analysis'!$M$6:$M$99+ROW('Topic Analysis'!$M$6:$M$99)/100000,32),'Topic Analysis'!$M$6:$M$99+ROW('Topic Analysis'!$M$6:$M$99)/100000,0)+5)</f>
        <v/>
      </c>
      <c r="I37" s="10">
        <f>IF(H37&gt;=70,"🔴 URGENT — Review Now",IF(H37&gt;=50,"🟡 Needs Work",IF(H37&gt;=30,"🟢 On Track","✅ Mastered")))</f>
        <v/>
      </c>
    </row>
    <row r="38">
      <c r="B38" s="55" t="n">
        <v>33</v>
      </c>
      <c r="C38" s="16">
        <f>INDEX('Topic Analysis'!$B:$B,MATCH(LARGE('Topic Analysis'!$M$6:$M$99+ROW('Topic Analysis'!$M$6:$M$99)/100000,33),'Topic Analysis'!$M$6:$M$99+ROW('Topic Analysis'!$M$6:$M$99)/100000,0)+5)</f>
        <v/>
      </c>
      <c r="D38" s="8">
        <f>INDEX('Topic Analysis'!$C:$C,MATCH(LARGE('Topic Analysis'!$M$6:$M$99+ROW('Topic Analysis'!$M$6:$M$99)/100000,33),'Topic Analysis'!$M$6:$M$99+ROW('Topic Analysis'!$M$6:$M$99)/100000,0)+5)</f>
        <v/>
      </c>
      <c r="E38" s="8">
        <f>INDEX('Topic Analysis'!$D:$D,MATCH(LARGE('Topic Analysis'!$M$6:$M$99+ROW('Topic Analysis'!$M$6:$M$99)/100000,33),'Topic Analysis'!$M$6:$M$99+ROW('Topic Analysis'!$M$6:$M$99)/100000,0)+5)</f>
        <v/>
      </c>
      <c r="F38" s="16">
        <f>INDEX('Topic Analysis'!$E:$E,MATCH(LARGE('Topic Analysis'!$M$6:$M$99+ROW('Topic Analysis'!$M$6:$M$99)/100000,33),'Topic Analysis'!$M$6:$M$99+ROW('Topic Analysis'!$M$6:$M$99)/100000,0)+5)+INDEX('Topic Analysis'!$G:$G,MATCH(LARGE('Topic Analysis'!$M$6:$M$99+ROW('Topic Analysis'!$M$6:$M$99)/100000,33),'Topic Analysis'!$M$6:$M$99+ROW('Topic Analysis'!$M$6:$M$99)/100000,0)+5)</f>
        <v/>
      </c>
      <c r="G38" s="48">
        <f>IFERROR(INDEX('Topic Analysis'!$I:$I,MATCH(LARGE('Topic Analysis'!$M$6:$M$99+ROW('Topic Analysis'!$M$6:$M$99)/100000,33),'Topic Analysis'!$M$6:$M$99+ROW('Topic Analysis'!$M$6:$M$99)/100000,0)+5),"—")</f>
        <v/>
      </c>
      <c r="H38" s="56">
        <f>INDEX('Topic Analysis'!$M:$M,MATCH(LARGE('Topic Analysis'!$M$6:$M$99+ROW('Topic Analysis'!$M$6:$M$99)/100000,33),'Topic Analysis'!$M$6:$M$99+ROW('Topic Analysis'!$M$6:$M$99)/100000,0)+5)</f>
        <v/>
      </c>
      <c r="I38" s="8">
        <f>IF(H38&gt;=70,"🔴 URGENT — Review Now",IF(H38&gt;=50,"🟡 Needs Work",IF(H38&gt;=30,"🟢 On Track","✅ Mastered")))</f>
        <v/>
      </c>
    </row>
    <row r="39">
      <c r="B39" s="57" t="n">
        <v>34</v>
      </c>
      <c r="C39" s="22">
        <f>INDEX('Topic Analysis'!$B:$B,MATCH(LARGE('Topic Analysis'!$M$6:$M$99+ROW('Topic Analysis'!$M$6:$M$99)/100000,34),'Topic Analysis'!$M$6:$M$99+ROW('Topic Analysis'!$M$6:$M$99)/100000,0)+5)</f>
        <v/>
      </c>
      <c r="D39" s="10">
        <f>INDEX('Topic Analysis'!$C:$C,MATCH(LARGE('Topic Analysis'!$M$6:$M$99+ROW('Topic Analysis'!$M$6:$M$99)/100000,34),'Topic Analysis'!$M$6:$M$99+ROW('Topic Analysis'!$M$6:$M$99)/100000,0)+5)</f>
        <v/>
      </c>
      <c r="E39" s="10">
        <f>INDEX('Topic Analysis'!$D:$D,MATCH(LARGE('Topic Analysis'!$M$6:$M$99+ROW('Topic Analysis'!$M$6:$M$99)/100000,34),'Topic Analysis'!$M$6:$M$99+ROW('Topic Analysis'!$M$6:$M$99)/100000,0)+5)</f>
        <v/>
      </c>
      <c r="F39" s="22">
        <f>INDEX('Topic Analysis'!$E:$E,MATCH(LARGE('Topic Analysis'!$M$6:$M$99+ROW('Topic Analysis'!$M$6:$M$99)/100000,34),'Topic Analysis'!$M$6:$M$99+ROW('Topic Analysis'!$M$6:$M$99)/100000,0)+5)+INDEX('Topic Analysis'!$G:$G,MATCH(LARGE('Topic Analysis'!$M$6:$M$99+ROW('Topic Analysis'!$M$6:$M$99)/100000,34),'Topic Analysis'!$M$6:$M$99+ROW('Topic Analysis'!$M$6:$M$99)/100000,0)+5)</f>
        <v/>
      </c>
      <c r="G39" s="49">
        <f>IFERROR(INDEX('Topic Analysis'!$I:$I,MATCH(LARGE('Topic Analysis'!$M$6:$M$99+ROW('Topic Analysis'!$M$6:$M$99)/100000,34),'Topic Analysis'!$M$6:$M$99+ROW('Topic Analysis'!$M$6:$M$99)/100000,0)+5),"—")</f>
        <v/>
      </c>
      <c r="H39" s="58">
        <f>INDEX('Topic Analysis'!$M:$M,MATCH(LARGE('Topic Analysis'!$M$6:$M$99+ROW('Topic Analysis'!$M$6:$M$99)/100000,34),'Topic Analysis'!$M$6:$M$99+ROW('Topic Analysis'!$M$6:$M$99)/100000,0)+5)</f>
        <v/>
      </c>
      <c r="I39" s="10">
        <f>IF(H39&gt;=70,"🔴 URGENT — Review Now",IF(H39&gt;=50,"🟡 Needs Work",IF(H39&gt;=30,"🟢 On Track","✅ Mastered")))</f>
        <v/>
      </c>
    </row>
    <row r="40">
      <c r="B40" s="55" t="n">
        <v>35</v>
      </c>
      <c r="C40" s="16">
        <f>INDEX('Topic Analysis'!$B:$B,MATCH(LARGE('Topic Analysis'!$M$6:$M$99+ROW('Topic Analysis'!$M$6:$M$99)/100000,35),'Topic Analysis'!$M$6:$M$99+ROW('Topic Analysis'!$M$6:$M$99)/100000,0)+5)</f>
        <v/>
      </c>
      <c r="D40" s="8">
        <f>INDEX('Topic Analysis'!$C:$C,MATCH(LARGE('Topic Analysis'!$M$6:$M$99+ROW('Topic Analysis'!$M$6:$M$99)/100000,35),'Topic Analysis'!$M$6:$M$99+ROW('Topic Analysis'!$M$6:$M$99)/100000,0)+5)</f>
        <v/>
      </c>
      <c r="E40" s="8">
        <f>INDEX('Topic Analysis'!$D:$D,MATCH(LARGE('Topic Analysis'!$M$6:$M$99+ROW('Topic Analysis'!$M$6:$M$99)/100000,35),'Topic Analysis'!$M$6:$M$99+ROW('Topic Analysis'!$M$6:$M$99)/100000,0)+5)</f>
        <v/>
      </c>
      <c r="F40" s="16">
        <f>INDEX('Topic Analysis'!$E:$E,MATCH(LARGE('Topic Analysis'!$M$6:$M$99+ROW('Topic Analysis'!$M$6:$M$99)/100000,35),'Topic Analysis'!$M$6:$M$99+ROW('Topic Analysis'!$M$6:$M$99)/100000,0)+5)+INDEX('Topic Analysis'!$G:$G,MATCH(LARGE('Topic Analysis'!$M$6:$M$99+ROW('Topic Analysis'!$M$6:$M$99)/100000,35),'Topic Analysis'!$M$6:$M$99+ROW('Topic Analysis'!$M$6:$M$99)/100000,0)+5)</f>
        <v/>
      </c>
      <c r="G40" s="48">
        <f>IFERROR(INDEX('Topic Analysis'!$I:$I,MATCH(LARGE('Topic Analysis'!$M$6:$M$99+ROW('Topic Analysis'!$M$6:$M$99)/100000,35),'Topic Analysis'!$M$6:$M$99+ROW('Topic Analysis'!$M$6:$M$99)/100000,0)+5),"—")</f>
        <v/>
      </c>
      <c r="H40" s="56">
        <f>INDEX('Topic Analysis'!$M:$M,MATCH(LARGE('Topic Analysis'!$M$6:$M$99+ROW('Topic Analysis'!$M$6:$M$99)/100000,35),'Topic Analysis'!$M$6:$M$99+ROW('Topic Analysis'!$M$6:$M$99)/100000,0)+5)</f>
        <v/>
      </c>
      <c r="I40" s="8">
        <f>IF(H40&gt;=70,"🔴 URGENT — Review Now",IF(H40&gt;=50,"🟡 Needs Work",IF(H40&gt;=30,"🟢 On Track","✅ Mastered")))</f>
        <v/>
      </c>
    </row>
    <row r="41">
      <c r="B41" s="57" t="n">
        <v>36</v>
      </c>
      <c r="C41" s="22">
        <f>INDEX('Topic Analysis'!$B:$B,MATCH(LARGE('Topic Analysis'!$M$6:$M$99+ROW('Topic Analysis'!$M$6:$M$99)/100000,36),'Topic Analysis'!$M$6:$M$99+ROW('Topic Analysis'!$M$6:$M$99)/100000,0)+5)</f>
        <v/>
      </c>
      <c r="D41" s="10">
        <f>INDEX('Topic Analysis'!$C:$C,MATCH(LARGE('Topic Analysis'!$M$6:$M$99+ROW('Topic Analysis'!$M$6:$M$99)/100000,36),'Topic Analysis'!$M$6:$M$99+ROW('Topic Analysis'!$M$6:$M$99)/100000,0)+5)</f>
        <v/>
      </c>
      <c r="E41" s="10">
        <f>INDEX('Topic Analysis'!$D:$D,MATCH(LARGE('Topic Analysis'!$M$6:$M$99+ROW('Topic Analysis'!$M$6:$M$99)/100000,36),'Topic Analysis'!$M$6:$M$99+ROW('Topic Analysis'!$M$6:$M$99)/100000,0)+5)</f>
        <v/>
      </c>
      <c r="F41" s="22">
        <f>INDEX('Topic Analysis'!$E:$E,MATCH(LARGE('Topic Analysis'!$M$6:$M$99+ROW('Topic Analysis'!$M$6:$M$99)/100000,36),'Topic Analysis'!$M$6:$M$99+ROW('Topic Analysis'!$M$6:$M$99)/100000,0)+5)+INDEX('Topic Analysis'!$G:$G,MATCH(LARGE('Topic Analysis'!$M$6:$M$99+ROW('Topic Analysis'!$M$6:$M$99)/100000,36),'Topic Analysis'!$M$6:$M$99+ROW('Topic Analysis'!$M$6:$M$99)/100000,0)+5)</f>
        <v/>
      </c>
      <c r="G41" s="49">
        <f>IFERROR(INDEX('Topic Analysis'!$I:$I,MATCH(LARGE('Topic Analysis'!$M$6:$M$99+ROW('Topic Analysis'!$M$6:$M$99)/100000,36),'Topic Analysis'!$M$6:$M$99+ROW('Topic Analysis'!$M$6:$M$99)/100000,0)+5),"—")</f>
        <v/>
      </c>
      <c r="H41" s="58">
        <f>INDEX('Topic Analysis'!$M:$M,MATCH(LARGE('Topic Analysis'!$M$6:$M$99+ROW('Topic Analysis'!$M$6:$M$99)/100000,36),'Topic Analysis'!$M$6:$M$99+ROW('Topic Analysis'!$M$6:$M$99)/100000,0)+5)</f>
        <v/>
      </c>
      <c r="I41" s="10">
        <f>IF(H41&gt;=70,"🔴 URGENT — Review Now",IF(H41&gt;=50,"🟡 Needs Work",IF(H41&gt;=30,"🟢 On Track","✅ Mastered")))</f>
        <v/>
      </c>
    </row>
    <row r="42">
      <c r="B42" s="55" t="n">
        <v>37</v>
      </c>
      <c r="C42" s="16">
        <f>INDEX('Topic Analysis'!$B:$B,MATCH(LARGE('Topic Analysis'!$M$6:$M$99+ROW('Topic Analysis'!$M$6:$M$99)/100000,37),'Topic Analysis'!$M$6:$M$99+ROW('Topic Analysis'!$M$6:$M$99)/100000,0)+5)</f>
        <v/>
      </c>
      <c r="D42" s="8">
        <f>INDEX('Topic Analysis'!$C:$C,MATCH(LARGE('Topic Analysis'!$M$6:$M$99+ROW('Topic Analysis'!$M$6:$M$99)/100000,37),'Topic Analysis'!$M$6:$M$99+ROW('Topic Analysis'!$M$6:$M$99)/100000,0)+5)</f>
        <v/>
      </c>
      <c r="E42" s="8">
        <f>INDEX('Topic Analysis'!$D:$D,MATCH(LARGE('Topic Analysis'!$M$6:$M$99+ROW('Topic Analysis'!$M$6:$M$99)/100000,37),'Topic Analysis'!$M$6:$M$99+ROW('Topic Analysis'!$M$6:$M$99)/100000,0)+5)</f>
        <v/>
      </c>
      <c r="F42" s="16">
        <f>INDEX('Topic Analysis'!$E:$E,MATCH(LARGE('Topic Analysis'!$M$6:$M$99+ROW('Topic Analysis'!$M$6:$M$99)/100000,37),'Topic Analysis'!$M$6:$M$99+ROW('Topic Analysis'!$M$6:$M$99)/100000,0)+5)+INDEX('Topic Analysis'!$G:$G,MATCH(LARGE('Topic Analysis'!$M$6:$M$99+ROW('Topic Analysis'!$M$6:$M$99)/100000,37),'Topic Analysis'!$M$6:$M$99+ROW('Topic Analysis'!$M$6:$M$99)/100000,0)+5)</f>
        <v/>
      </c>
      <c r="G42" s="48">
        <f>IFERROR(INDEX('Topic Analysis'!$I:$I,MATCH(LARGE('Topic Analysis'!$M$6:$M$99+ROW('Topic Analysis'!$M$6:$M$99)/100000,37),'Topic Analysis'!$M$6:$M$99+ROW('Topic Analysis'!$M$6:$M$99)/100000,0)+5),"—")</f>
        <v/>
      </c>
      <c r="H42" s="56">
        <f>INDEX('Topic Analysis'!$M:$M,MATCH(LARGE('Topic Analysis'!$M$6:$M$99+ROW('Topic Analysis'!$M$6:$M$99)/100000,37),'Topic Analysis'!$M$6:$M$99+ROW('Topic Analysis'!$M$6:$M$99)/100000,0)+5)</f>
        <v/>
      </c>
      <c r="I42" s="8">
        <f>IF(H42&gt;=70,"🔴 URGENT — Review Now",IF(H42&gt;=50,"🟡 Needs Work",IF(H42&gt;=30,"🟢 On Track","✅ Mastered")))</f>
        <v/>
      </c>
    </row>
    <row r="43">
      <c r="B43" s="57" t="n">
        <v>38</v>
      </c>
      <c r="C43" s="22">
        <f>INDEX('Topic Analysis'!$B:$B,MATCH(LARGE('Topic Analysis'!$M$6:$M$99+ROW('Topic Analysis'!$M$6:$M$99)/100000,38),'Topic Analysis'!$M$6:$M$99+ROW('Topic Analysis'!$M$6:$M$99)/100000,0)+5)</f>
        <v/>
      </c>
      <c r="D43" s="10">
        <f>INDEX('Topic Analysis'!$C:$C,MATCH(LARGE('Topic Analysis'!$M$6:$M$99+ROW('Topic Analysis'!$M$6:$M$99)/100000,38),'Topic Analysis'!$M$6:$M$99+ROW('Topic Analysis'!$M$6:$M$99)/100000,0)+5)</f>
        <v/>
      </c>
      <c r="E43" s="10">
        <f>INDEX('Topic Analysis'!$D:$D,MATCH(LARGE('Topic Analysis'!$M$6:$M$99+ROW('Topic Analysis'!$M$6:$M$99)/100000,38),'Topic Analysis'!$M$6:$M$99+ROW('Topic Analysis'!$M$6:$M$99)/100000,0)+5)</f>
        <v/>
      </c>
      <c r="F43" s="22">
        <f>INDEX('Topic Analysis'!$E:$E,MATCH(LARGE('Topic Analysis'!$M$6:$M$99+ROW('Topic Analysis'!$M$6:$M$99)/100000,38),'Topic Analysis'!$M$6:$M$99+ROW('Topic Analysis'!$M$6:$M$99)/100000,0)+5)+INDEX('Topic Analysis'!$G:$G,MATCH(LARGE('Topic Analysis'!$M$6:$M$99+ROW('Topic Analysis'!$M$6:$M$99)/100000,38),'Topic Analysis'!$M$6:$M$99+ROW('Topic Analysis'!$M$6:$M$99)/100000,0)+5)</f>
        <v/>
      </c>
      <c r="G43" s="49">
        <f>IFERROR(INDEX('Topic Analysis'!$I:$I,MATCH(LARGE('Topic Analysis'!$M$6:$M$99+ROW('Topic Analysis'!$M$6:$M$99)/100000,38),'Topic Analysis'!$M$6:$M$99+ROW('Topic Analysis'!$M$6:$M$99)/100000,0)+5),"—")</f>
        <v/>
      </c>
      <c r="H43" s="58">
        <f>INDEX('Topic Analysis'!$M:$M,MATCH(LARGE('Topic Analysis'!$M$6:$M$99+ROW('Topic Analysis'!$M$6:$M$99)/100000,38),'Topic Analysis'!$M$6:$M$99+ROW('Topic Analysis'!$M$6:$M$99)/100000,0)+5)</f>
        <v/>
      </c>
      <c r="I43" s="10">
        <f>IF(H43&gt;=70,"🔴 URGENT — Review Now",IF(H43&gt;=50,"🟡 Needs Work",IF(H43&gt;=30,"🟢 On Track","✅ Mastered")))</f>
        <v/>
      </c>
    </row>
    <row r="44">
      <c r="B44" s="55" t="n">
        <v>39</v>
      </c>
      <c r="C44" s="16">
        <f>INDEX('Topic Analysis'!$B:$B,MATCH(LARGE('Topic Analysis'!$M$6:$M$99+ROW('Topic Analysis'!$M$6:$M$99)/100000,39),'Topic Analysis'!$M$6:$M$99+ROW('Topic Analysis'!$M$6:$M$99)/100000,0)+5)</f>
        <v/>
      </c>
      <c r="D44" s="8">
        <f>INDEX('Topic Analysis'!$C:$C,MATCH(LARGE('Topic Analysis'!$M$6:$M$99+ROW('Topic Analysis'!$M$6:$M$99)/100000,39),'Topic Analysis'!$M$6:$M$99+ROW('Topic Analysis'!$M$6:$M$99)/100000,0)+5)</f>
        <v/>
      </c>
      <c r="E44" s="8">
        <f>INDEX('Topic Analysis'!$D:$D,MATCH(LARGE('Topic Analysis'!$M$6:$M$99+ROW('Topic Analysis'!$M$6:$M$99)/100000,39),'Topic Analysis'!$M$6:$M$99+ROW('Topic Analysis'!$M$6:$M$99)/100000,0)+5)</f>
        <v/>
      </c>
      <c r="F44" s="16">
        <f>INDEX('Topic Analysis'!$E:$E,MATCH(LARGE('Topic Analysis'!$M$6:$M$99+ROW('Topic Analysis'!$M$6:$M$99)/100000,39),'Topic Analysis'!$M$6:$M$99+ROW('Topic Analysis'!$M$6:$M$99)/100000,0)+5)+INDEX('Topic Analysis'!$G:$G,MATCH(LARGE('Topic Analysis'!$M$6:$M$99+ROW('Topic Analysis'!$M$6:$M$99)/100000,39),'Topic Analysis'!$M$6:$M$99+ROW('Topic Analysis'!$M$6:$M$99)/100000,0)+5)</f>
        <v/>
      </c>
      <c r="G44" s="48">
        <f>IFERROR(INDEX('Topic Analysis'!$I:$I,MATCH(LARGE('Topic Analysis'!$M$6:$M$99+ROW('Topic Analysis'!$M$6:$M$99)/100000,39),'Topic Analysis'!$M$6:$M$99+ROW('Topic Analysis'!$M$6:$M$99)/100000,0)+5),"—")</f>
        <v/>
      </c>
      <c r="H44" s="56">
        <f>INDEX('Topic Analysis'!$M:$M,MATCH(LARGE('Topic Analysis'!$M$6:$M$99+ROW('Topic Analysis'!$M$6:$M$99)/100000,39),'Topic Analysis'!$M$6:$M$99+ROW('Topic Analysis'!$M$6:$M$99)/100000,0)+5)</f>
        <v/>
      </c>
      <c r="I44" s="8">
        <f>IF(H44&gt;=70,"🔴 URGENT — Review Now",IF(H44&gt;=50,"🟡 Needs Work",IF(H44&gt;=30,"🟢 On Track","✅ Mastered")))</f>
        <v/>
      </c>
    </row>
    <row r="45">
      <c r="B45" s="57" t="n">
        <v>40</v>
      </c>
      <c r="C45" s="22">
        <f>INDEX('Topic Analysis'!$B:$B,MATCH(LARGE('Topic Analysis'!$M$6:$M$99+ROW('Topic Analysis'!$M$6:$M$99)/100000,40),'Topic Analysis'!$M$6:$M$99+ROW('Topic Analysis'!$M$6:$M$99)/100000,0)+5)</f>
        <v/>
      </c>
      <c r="D45" s="10">
        <f>INDEX('Topic Analysis'!$C:$C,MATCH(LARGE('Topic Analysis'!$M$6:$M$99+ROW('Topic Analysis'!$M$6:$M$99)/100000,40),'Topic Analysis'!$M$6:$M$99+ROW('Topic Analysis'!$M$6:$M$99)/100000,0)+5)</f>
        <v/>
      </c>
      <c r="E45" s="10">
        <f>INDEX('Topic Analysis'!$D:$D,MATCH(LARGE('Topic Analysis'!$M$6:$M$99+ROW('Topic Analysis'!$M$6:$M$99)/100000,40),'Topic Analysis'!$M$6:$M$99+ROW('Topic Analysis'!$M$6:$M$99)/100000,0)+5)</f>
        <v/>
      </c>
      <c r="F45" s="22">
        <f>INDEX('Topic Analysis'!$E:$E,MATCH(LARGE('Topic Analysis'!$M$6:$M$99+ROW('Topic Analysis'!$M$6:$M$99)/100000,40),'Topic Analysis'!$M$6:$M$99+ROW('Topic Analysis'!$M$6:$M$99)/100000,0)+5)+INDEX('Topic Analysis'!$G:$G,MATCH(LARGE('Topic Analysis'!$M$6:$M$99+ROW('Topic Analysis'!$M$6:$M$99)/100000,40),'Topic Analysis'!$M$6:$M$99+ROW('Topic Analysis'!$M$6:$M$99)/100000,0)+5)</f>
        <v/>
      </c>
      <c r="G45" s="49">
        <f>IFERROR(INDEX('Topic Analysis'!$I:$I,MATCH(LARGE('Topic Analysis'!$M$6:$M$99+ROW('Topic Analysis'!$M$6:$M$99)/100000,40),'Topic Analysis'!$M$6:$M$99+ROW('Topic Analysis'!$M$6:$M$99)/100000,0)+5),"—")</f>
        <v/>
      </c>
      <c r="H45" s="58">
        <f>INDEX('Topic Analysis'!$M:$M,MATCH(LARGE('Topic Analysis'!$M$6:$M$99+ROW('Topic Analysis'!$M$6:$M$99)/100000,40),'Topic Analysis'!$M$6:$M$99+ROW('Topic Analysis'!$M$6:$M$99)/100000,0)+5)</f>
        <v/>
      </c>
      <c r="I45" s="10">
        <f>IF(H45&gt;=70,"🔴 URGENT — Review Now",IF(H45&gt;=50,"🟡 Needs Work",IF(H45&gt;=30,"🟢 On Track","✅ Mastered")))</f>
        <v/>
      </c>
    </row>
    <row r="46">
      <c r="B46" s="55" t="n">
        <v>41</v>
      </c>
      <c r="C46" s="16">
        <f>INDEX('Topic Analysis'!$B:$B,MATCH(LARGE('Topic Analysis'!$M$6:$M$99+ROW('Topic Analysis'!$M$6:$M$99)/100000,41),'Topic Analysis'!$M$6:$M$99+ROW('Topic Analysis'!$M$6:$M$99)/100000,0)+5)</f>
        <v/>
      </c>
      <c r="D46" s="8">
        <f>INDEX('Topic Analysis'!$C:$C,MATCH(LARGE('Topic Analysis'!$M$6:$M$99+ROW('Topic Analysis'!$M$6:$M$99)/100000,41),'Topic Analysis'!$M$6:$M$99+ROW('Topic Analysis'!$M$6:$M$99)/100000,0)+5)</f>
        <v/>
      </c>
      <c r="E46" s="8">
        <f>INDEX('Topic Analysis'!$D:$D,MATCH(LARGE('Topic Analysis'!$M$6:$M$99+ROW('Topic Analysis'!$M$6:$M$99)/100000,41),'Topic Analysis'!$M$6:$M$99+ROW('Topic Analysis'!$M$6:$M$99)/100000,0)+5)</f>
        <v/>
      </c>
      <c r="F46" s="16">
        <f>INDEX('Topic Analysis'!$E:$E,MATCH(LARGE('Topic Analysis'!$M$6:$M$99+ROW('Topic Analysis'!$M$6:$M$99)/100000,41),'Topic Analysis'!$M$6:$M$99+ROW('Topic Analysis'!$M$6:$M$99)/100000,0)+5)+INDEX('Topic Analysis'!$G:$G,MATCH(LARGE('Topic Analysis'!$M$6:$M$99+ROW('Topic Analysis'!$M$6:$M$99)/100000,41),'Topic Analysis'!$M$6:$M$99+ROW('Topic Analysis'!$M$6:$M$99)/100000,0)+5)</f>
        <v/>
      </c>
      <c r="G46" s="48">
        <f>IFERROR(INDEX('Topic Analysis'!$I:$I,MATCH(LARGE('Topic Analysis'!$M$6:$M$99+ROW('Topic Analysis'!$M$6:$M$99)/100000,41),'Topic Analysis'!$M$6:$M$99+ROW('Topic Analysis'!$M$6:$M$99)/100000,0)+5),"—")</f>
        <v/>
      </c>
      <c r="H46" s="56">
        <f>INDEX('Topic Analysis'!$M:$M,MATCH(LARGE('Topic Analysis'!$M$6:$M$99+ROW('Topic Analysis'!$M$6:$M$99)/100000,41),'Topic Analysis'!$M$6:$M$99+ROW('Topic Analysis'!$M$6:$M$99)/100000,0)+5)</f>
        <v/>
      </c>
      <c r="I46" s="8">
        <f>IF(H46&gt;=70,"🔴 URGENT — Review Now",IF(H46&gt;=50,"🟡 Needs Work",IF(H46&gt;=30,"🟢 On Track","✅ Mastered")))</f>
        <v/>
      </c>
    </row>
    <row r="47">
      <c r="B47" s="57" t="n">
        <v>42</v>
      </c>
      <c r="C47" s="22">
        <f>INDEX('Topic Analysis'!$B:$B,MATCH(LARGE('Topic Analysis'!$M$6:$M$99+ROW('Topic Analysis'!$M$6:$M$99)/100000,42),'Topic Analysis'!$M$6:$M$99+ROW('Topic Analysis'!$M$6:$M$99)/100000,0)+5)</f>
        <v/>
      </c>
      <c r="D47" s="10">
        <f>INDEX('Topic Analysis'!$C:$C,MATCH(LARGE('Topic Analysis'!$M$6:$M$99+ROW('Topic Analysis'!$M$6:$M$99)/100000,42),'Topic Analysis'!$M$6:$M$99+ROW('Topic Analysis'!$M$6:$M$99)/100000,0)+5)</f>
        <v/>
      </c>
      <c r="E47" s="10">
        <f>INDEX('Topic Analysis'!$D:$D,MATCH(LARGE('Topic Analysis'!$M$6:$M$99+ROW('Topic Analysis'!$M$6:$M$99)/100000,42),'Topic Analysis'!$M$6:$M$99+ROW('Topic Analysis'!$M$6:$M$99)/100000,0)+5)</f>
        <v/>
      </c>
      <c r="F47" s="22">
        <f>INDEX('Topic Analysis'!$E:$E,MATCH(LARGE('Topic Analysis'!$M$6:$M$99+ROW('Topic Analysis'!$M$6:$M$99)/100000,42),'Topic Analysis'!$M$6:$M$99+ROW('Topic Analysis'!$M$6:$M$99)/100000,0)+5)+INDEX('Topic Analysis'!$G:$G,MATCH(LARGE('Topic Analysis'!$M$6:$M$99+ROW('Topic Analysis'!$M$6:$M$99)/100000,42),'Topic Analysis'!$M$6:$M$99+ROW('Topic Analysis'!$M$6:$M$99)/100000,0)+5)</f>
        <v/>
      </c>
      <c r="G47" s="49">
        <f>IFERROR(INDEX('Topic Analysis'!$I:$I,MATCH(LARGE('Topic Analysis'!$M$6:$M$99+ROW('Topic Analysis'!$M$6:$M$99)/100000,42),'Topic Analysis'!$M$6:$M$99+ROW('Topic Analysis'!$M$6:$M$99)/100000,0)+5),"—")</f>
        <v/>
      </c>
      <c r="H47" s="58">
        <f>INDEX('Topic Analysis'!$M:$M,MATCH(LARGE('Topic Analysis'!$M$6:$M$99+ROW('Topic Analysis'!$M$6:$M$99)/100000,42),'Topic Analysis'!$M$6:$M$99+ROW('Topic Analysis'!$M$6:$M$99)/100000,0)+5)</f>
        <v/>
      </c>
      <c r="I47" s="10">
        <f>IF(H47&gt;=70,"🔴 URGENT — Review Now",IF(H47&gt;=50,"🟡 Needs Work",IF(H47&gt;=30,"🟢 On Track","✅ Mastered")))</f>
        <v/>
      </c>
    </row>
    <row r="48">
      <c r="B48" s="55" t="n">
        <v>43</v>
      </c>
      <c r="C48" s="16">
        <f>INDEX('Topic Analysis'!$B:$B,MATCH(LARGE('Topic Analysis'!$M$6:$M$99+ROW('Topic Analysis'!$M$6:$M$99)/100000,43),'Topic Analysis'!$M$6:$M$99+ROW('Topic Analysis'!$M$6:$M$99)/100000,0)+5)</f>
        <v/>
      </c>
      <c r="D48" s="8">
        <f>INDEX('Topic Analysis'!$C:$C,MATCH(LARGE('Topic Analysis'!$M$6:$M$99+ROW('Topic Analysis'!$M$6:$M$99)/100000,43),'Topic Analysis'!$M$6:$M$99+ROW('Topic Analysis'!$M$6:$M$99)/100000,0)+5)</f>
        <v/>
      </c>
      <c r="E48" s="8">
        <f>INDEX('Topic Analysis'!$D:$D,MATCH(LARGE('Topic Analysis'!$M$6:$M$99+ROW('Topic Analysis'!$M$6:$M$99)/100000,43),'Topic Analysis'!$M$6:$M$99+ROW('Topic Analysis'!$M$6:$M$99)/100000,0)+5)</f>
        <v/>
      </c>
      <c r="F48" s="16">
        <f>INDEX('Topic Analysis'!$E:$E,MATCH(LARGE('Topic Analysis'!$M$6:$M$99+ROW('Topic Analysis'!$M$6:$M$99)/100000,43),'Topic Analysis'!$M$6:$M$99+ROW('Topic Analysis'!$M$6:$M$99)/100000,0)+5)+INDEX('Topic Analysis'!$G:$G,MATCH(LARGE('Topic Analysis'!$M$6:$M$99+ROW('Topic Analysis'!$M$6:$M$99)/100000,43),'Topic Analysis'!$M$6:$M$99+ROW('Topic Analysis'!$M$6:$M$99)/100000,0)+5)</f>
        <v/>
      </c>
      <c r="G48" s="48">
        <f>IFERROR(INDEX('Topic Analysis'!$I:$I,MATCH(LARGE('Topic Analysis'!$M$6:$M$99+ROW('Topic Analysis'!$M$6:$M$99)/100000,43),'Topic Analysis'!$M$6:$M$99+ROW('Topic Analysis'!$M$6:$M$99)/100000,0)+5),"—")</f>
        <v/>
      </c>
      <c r="H48" s="56">
        <f>INDEX('Topic Analysis'!$M:$M,MATCH(LARGE('Topic Analysis'!$M$6:$M$99+ROW('Topic Analysis'!$M$6:$M$99)/100000,43),'Topic Analysis'!$M$6:$M$99+ROW('Topic Analysis'!$M$6:$M$99)/100000,0)+5)</f>
        <v/>
      </c>
      <c r="I48" s="8">
        <f>IF(H48&gt;=70,"🔴 URGENT — Review Now",IF(H48&gt;=50,"🟡 Needs Work",IF(H48&gt;=30,"🟢 On Track","✅ Mastered")))</f>
        <v/>
      </c>
    </row>
    <row r="49">
      <c r="B49" s="57" t="n">
        <v>44</v>
      </c>
      <c r="C49" s="22">
        <f>INDEX('Topic Analysis'!$B:$B,MATCH(LARGE('Topic Analysis'!$M$6:$M$99+ROW('Topic Analysis'!$M$6:$M$99)/100000,44),'Topic Analysis'!$M$6:$M$99+ROW('Topic Analysis'!$M$6:$M$99)/100000,0)+5)</f>
        <v/>
      </c>
      <c r="D49" s="10">
        <f>INDEX('Topic Analysis'!$C:$C,MATCH(LARGE('Topic Analysis'!$M$6:$M$99+ROW('Topic Analysis'!$M$6:$M$99)/100000,44),'Topic Analysis'!$M$6:$M$99+ROW('Topic Analysis'!$M$6:$M$99)/100000,0)+5)</f>
        <v/>
      </c>
      <c r="E49" s="10">
        <f>INDEX('Topic Analysis'!$D:$D,MATCH(LARGE('Topic Analysis'!$M$6:$M$99+ROW('Topic Analysis'!$M$6:$M$99)/100000,44),'Topic Analysis'!$M$6:$M$99+ROW('Topic Analysis'!$M$6:$M$99)/100000,0)+5)</f>
        <v/>
      </c>
      <c r="F49" s="22">
        <f>INDEX('Topic Analysis'!$E:$E,MATCH(LARGE('Topic Analysis'!$M$6:$M$99+ROW('Topic Analysis'!$M$6:$M$99)/100000,44),'Topic Analysis'!$M$6:$M$99+ROW('Topic Analysis'!$M$6:$M$99)/100000,0)+5)+INDEX('Topic Analysis'!$G:$G,MATCH(LARGE('Topic Analysis'!$M$6:$M$99+ROW('Topic Analysis'!$M$6:$M$99)/100000,44),'Topic Analysis'!$M$6:$M$99+ROW('Topic Analysis'!$M$6:$M$99)/100000,0)+5)</f>
        <v/>
      </c>
      <c r="G49" s="49">
        <f>IFERROR(INDEX('Topic Analysis'!$I:$I,MATCH(LARGE('Topic Analysis'!$M$6:$M$99+ROW('Topic Analysis'!$M$6:$M$99)/100000,44),'Topic Analysis'!$M$6:$M$99+ROW('Topic Analysis'!$M$6:$M$99)/100000,0)+5),"—")</f>
        <v/>
      </c>
      <c r="H49" s="58">
        <f>INDEX('Topic Analysis'!$M:$M,MATCH(LARGE('Topic Analysis'!$M$6:$M$99+ROW('Topic Analysis'!$M$6:$M$99)/100000,44),'Topic Analysis'!$M$6:$M$99+ROW('Topic Analysis'!$M$6:$M$99)/100000,0)+5)</f>
        <v/>
      </c>
      <c r="I49" s="10">
        <f>IF(H49&gt;=70,"🔴 URGENT — Review Now",IF(H49&gt;=50,"🟡 Needs Work",IF(H49&gt;=30,"🟢 On Track","✅ Mastered")))</f>
        <v/>
      </c>
    </row>
    <row r="50">
      <c r="B50" s="55" t="n">
        <v>45</v>
      </c>
      <c r="C50" s="16">
        <f>INDEX('Topic Analysis'!$B:$B,MATCH(LARGE('Topic Analysis'!$M$6:$M$99+ROW('Topic Analysis'!$M$6:$M$99)/100000,45),'Topic Analysis'!$M$6:$M$99+ROW('Topic Analysis'!$M$6:$M$99)/100000,0)+5)</f>
        <v/>
      </c>
      <c r="D50" s="8">
        <f>INDEX('Topic Analysis'!$C:$C,MATCH(LARGE('Topic Analysis'!$M$6:$M$99+ROW('Topic Analysis'!$M$6:$M$99)/100000,45),'Topic Analysis'!$M$6:$M$99+ROW('Topic Analysis'!$M$6:$M$99)/100000,0)+5)</f>
        <v/>
      </c>
      <c r="E50" s="8">
        <f>INDEX('Topic Analysis'!$D:$D,MATCH(LARGE('Topic Analysis'!$M$6:$M$99+ROW('Topic Analysis'!$M$6:$M$99)/100000,45),'Topic Analysis'!$M$6:$M$99+ROW('Topic Analysis'!$M$6:$M$99)/100000,0)+5)</f>
        <v/>
      </c>
      <c r="F50" s="16">
        <f>INDEX('Topic Analysis'!$E:$E,MATCH(LARGE('Topic Analysis'!$M$6:$M$99+ROW('Topic Analysis'!$M$6:$M$99)/100000,45),'Topic Analysis'!$M$6:$M$99+ROW('Topic Analysis'!$M$6:$M$99)/100000,0)+5)+INDEX('Topic Analysis'!$G:$G,MATCH(LARGE('Topic Analysis'!$M$6:$M$99+ROW('Topic Analysis'!$M$6:$M$99)/100000,45),'Topic Analysis'!$M$6:$M$99+ROW('Topic Analysis'!$M$6:$M$99)/100000,0)+5)</f>
        <v/>
      </c>
      <c r="G50" s="48">
        <f>IFERROR(INDEX('Topic Analysis'!$I:$I,MATCH(LARGE('Topic Analysis'!$M$6:$M$99+ROW('Topic Analysis'!$M$6:$M$99)/100000,45),'Topic Analysis'!$M$6:$M$99+ROW('Topic Analysis'!$M$6:$M$99)/100000,0)+5),"—")</f>
        <v/>
      </c>
      <c r="H50" s="56">
        <f>INDEX('Topic Analysis'!$M:$M,MATCH(LARGE('Topic Analysis'!$M$6:$M$99+ROW('Topic Analysis'!$M$6:$M$99)/100000,45),'Topic Analysis'!$M$6:$M$99+ROW('Topic Analysis'!$M$6:$M$99)/100000,0)+5)</f>
        <v/>
      </c>
      <c r="I50" s="8">
        <f>IF(H50&gt;=70,"🔴 URGENT — Review Now",IF(H50&gt;=50,"🟡 Needs Work",IF(H50&gt;=30,"🟢 On Track","✅ Mastered")))</f>
        <v/>
      </c>
    </row>
    <row r="51">
      <c r="B51" s="57" t="n">
        <v>46</v>
      </c>
      <c r="C51" s="22">
        <f>INDEX('Topic Analysis'!$B:$B,MATCH(LARGE('Topic Analysis'!$M$6:$M$99+ROW('Topic Analysis'!$M$6:$M$99)/100000,46),'Topic Analysis'!$M$6:$M$99+ROW('Topic Analysis'!$M$6:$M$99)/100000,0)+5)</f>
        <v/>
      </c>
      <c r="D51" s="10">
        <f>INDEX('Topic Analysis'!$C:$C,MATCH(LARGE('Topic Analysis'!$M$6:$M$99+ROW('Topic Analysis'!$M$6:$M$99)/100000,46),'Topic Analysis'!$M$6:$M$99+ROW('Topic Analysis'!$M$6:$M$99)/100000,0)+5)</f>
        <v/>
      </c>
      <c r="E51" s="10">
        <f>INDEX('Topic Analysis'!$D:$D,MATCH(LARGE('Topic Analysis'!$M$6:$M$99+ROW('Topic Analysis'!$M$6:$M$99)/100000,46),'Topic Analysis'!$M$6:$M$99+ROW('Topic Analysis'!$M$6:$M$99)/100000,0)+5)</f>
        <v/>
      </c>
      <c r="F51" s="22">
        <f>INDEX('Topic Analysis'!$E:$E,MATCH(LARGE('Topic Analysis'!$M$6:$M$99+ROW('Topic Analysis'!$M$6:$M$99)/100000,46),'Topic Analysis'!$M$6:$M$99+ROW('Topic Analysis'!$M$6:$M$99)/100000,0)+5)+INDEX('Topic Analysis'!$G:$G,MATCH(LARGE('Topic Analysis'!$M$6:$M$99+ROW('Topic Analysis'!$M$6:$M$99)/100000,46),'Topic Analysis'!$M$6:$M$99+ROW('Topic Analysis'!$M$6:$M$99)/100000,0)+5)</f>
        <v/>
      </c>
      <c r="G51" s="49">
        <f>IFERROR(INDEX('Topic Analysis'!$I:$I,MATCH(LARGE('Topic Analysis'!$M$6:$M$99+ROW('Topic Analysis'!$M$6:$M$99)/100000,46),'Topic Analysis'!$M$6:$M$99+ROW('Topic Analysis'!$M$6:$M$99)/100000,0)+5),"—")</f>
        <v/>
      </c>
      <c r="H51" s="58">
        <f>INDEX('Topic Analysis'!$M:$M,MATCH(LARGE('Topic Analysis'!$M$6:$M$99+ROW('Topic Analysis'!$M$6:$M$99)/100000,46),'Topic Analysis'!$M$6:$M$99+ROW('Topic Analysis'!$M$6:$M$99)/100000,0)+5)</f>
        <v/>
      </c>
      <c r="I51" s="10">
        <f>IF(H51&gt;=70,"🔴 URGENT — Review Now",IF(H51&gt;=50,"🟡 Needs Work",IF(H51&gt;=30,"🟢 On Track","✅ Mastered")))</f>
        <v/>
      </c>
    </row>
    <row r="52">
      <c r="B52" s="55" t="n">
        <v>47</v>
      </c>
      <c r="C52" s="16">
        <f>INDEX('Topic Analysis'!$B:$B,MATCH(LARGE('Topic Analysis'!$M$6:$M$99+ROW('Topic Analysis'!$M$6:$M$99)/100000,47),'Topic Analysis'!$M$6:$M$99+ROW('Topic Analysis'!$M$6:$M$99)/100000,0)+5)</f>
        <v/>
      </c>
      <c r="D52" s="8">
        <f>INDEX('Topic Analysis'!$C:$C,MATCH(LARGE('Topic Analysis'!$M$6:$M$99+ROW('Topic Analysis'!$M$6:$M$99)/100000,47),'Topic Analysis'!$M$6:$M$99+ROW('Topic Analysis'!$M$6:$M$99)/100000,0)+5)</f>
        <v/>
      </c>
      <c r="E52" s="8">
        <f>INDEX('Topic Analysis'!$D:$D,MATCH(LARGE('Topic Analysis'!$M$6:$M$99+ROW('Topic Analysis'!$M$6:$M$99)/100000,47),'Topic Analysis'!$M$6:$M$99+ROW('Topic Analysis'!$M$6:$M$99)/100000,0)+5)</f>
        <v/>
      </c>
      <c r="F52" s="16">
        <f>INDEX('Topic Analysis'!$E:$E,MATCH(LARGE('Topic Analysis'!$M$6:$M$99+ROW('Topic Analysis'!$M$6:$M$99)/100000,47),'Topic Analysis'!$M$6:$M$99+ROW('Topic Analysis'!$M$6:$M$99)/100000,0)+5)+INDEX('Topic Analysis'!$G:$G,MATCH(LARGE('Topic Analysis'!$M$6:$M$99+ROW('Topic Analysis'!$M$6:$M$99)/100000,47),'Topic Analysis'!$M$6:$M$99+ROW('Topic Analysis'!$M$6:$M$99)/100000,0)+5)</f>
        <v/>
      </c>
      <c r="G52" s="48">
        <f>IFERROR(INDEX('Topic Analysis'!$I:$I,MATCH(LARGE('Topic Analysis'!$M$6:$M$99+ROW('Topic Analysis'!$M$6:$M$99)/100000,47),'Topic Analysis'!$M$6:$M$99+ROW('Topic Analysis'!$M$6:$M$99)/100000,0)+5),"—")</f>
        <v/>
      </c>
      <c r="H52" s="56">
        <f>INDEX('Topic Analysis'!$M:$M,MATCH(LARGE('Topic Analysis'!$M$6:$M$99+ROW('Topic Analysis'!$M$6:$M$99)/100000,47),'Topic Analysis'!$M$6:$M$99+ROW('Topic Analysis'!$M$6:$M$99)/100000,0)+5)</f>
        <v/>
      </c>
      <c r="I52" s="8">
        <f>IF(H52&gt;=70,"🔴 URGENT — Review Now",IF(H52&gt;=50,"🟡 Needs Work",IF(H52&gt;=30,"🟢 On Track","✅ Mastered")))</f>
        <v/>
      </c>
    </row>
    <row r="53">
      <c r="B53" s="57" t="n">
        <v>48</v>
      </c>
      <c r="C53" s="22">
        <f>INDEX('Topic Analysis'!$B:$B,MATCH(LARGE('Topic Analysis'!$M$6:$M$99+ROW('Topic Analysis'!$M$6:$M$99)/100000,48),'Topic Analysis'!$M$6:$M$99+ROW('Topic Analysis'!$M$6:$M$99)/100000,0)+5)</f>
        <v/>
      </c>
      <c r="D53" s="10">
        <f>INDEX('Topic Analysis'!$C:$C,MATCH(LARGE('Topic Analysis'!$M$6:$M$99+ROW('Topic Analysis'!$M$6:$M$99)/100000,48),'Topic Analysis'!$M$6:$M$99+ROW('Topic Analysis'!$M$6:$M$99)/100000,0)+5)</f>
        <v/>
      </c>
      <c r="E53" s="10">
        <f>INDEX('Topic Analysis'!$D:$D,MATCH(LARGE('Topic Analysis'!$M$6:$M$99+ROW('Topic Analysis'!$M$6:$M$99)/100000,48),'Topic Analysis'!$M$6:$M$99+ROW('Topic Analysis'!$M$6:$M$99)/100000,0)+5)</f>
        <v/>
      </c>
      <c r="F53" s="22">
        <f>INDEX('Topic Analysis'!$E:$E,MATCH(LARGE('Topic Analysis'!$M$6:$M$99+ROW('Topic Analysis'!$M$6:$M$99)/100000,48),'Topic Analysis'!$M$6:$M$99+ROW('Topic Analysis'!$M$6:$M$99)/100000,0)+5)+INDEX('Topic Analysis'!$G:$G,MATCH(LARGE('Topic Analysis'!$M$6:$M$99+ROW('Topic Analysis'!$M$6:$M$99)/100000,48),'Topic Analysis'!$M$6:$M$99+ROW('Topic Analysis'!$M$6:$M$99)/100000,0)+5)</f>
        <v/>
      </c>
      <c r="G53" s="49">
        <f>IFERROR(INDEX('Topic Analysis'!$I:$I,MATCH(LARGE('Topic Analysis'!$M$6:$M$99+ROW('Topic Analysis'!$M$6:$M$99)/100000,48),'Topic Analysis'!$M$6:$M$99+ROW('Topic Analysis'!$M$6:$M$99)/100000,0)+5),"—")</f>
        <v/>
      </c>
      <c r="H53" s="58">
        <f>INDEX('Topic Analysis'!$M:$M,MATCH(LARGE('Topic Analysis'!$M$6:$M$99+ROW('Topic Analysis'!$M$6:$M$99)/100000,48),'Topic Analysis'!$M$6:$M$99+ROW('Topic Analysis'!$M$6:$M$99)/100000,0)+5)</f>
        <v/>
      </c>
      <c r="I53" s="10">
        <f>IF(H53&gt;=70,"🔴 URGENT — Review Now",IF(H53&gt;=50,"🟡 Needs Work",IF(H53&gt;=30,"🟢 On Track","✅ Mastered")))</f>
        <v/>
      </c>
    </row>
    <row r="54">
      <c r="B54" s="55" t="n">
        <v>49</v>
      </c>
      <c r="C54" s="16">
        <f>INDEX('Topic Analysis'!$B:$B,MATCH(LARGE('Topic Analysis'!$M$6:$M$99+ROW('Topic Analysis'!$M$6:$M$99)/100000,49),'Topic Analysis'!$M$6:$M$99+ROW('Topic Analysis'!$M$6:$M$99)/100000,0)+5)</f>
        <v/>
      </c>
      <c r="D54" s="8">
        <f>INDEX('Topic Analysis'!$C:$C,MATCH(LARGE('Topic Analysis'!$M$6:$M$99+ROW('Topic Analysis'!$M$6:$M$99)/100000,49),'Topic Analysis'!$M$6:$M$99+ROW('Topic Analysis'!$M$6:$M$99)/100000,0)+5)</f>
        <v/>
      </c>
      <c r="E54" s="8">
        <f>INDEX('Topic Analysis'!$D:$D,MATCH(LARGE('Topic Analysis'!$M$6:$M$99+ROW('Topic Analysis'!$M$6:$M$99)/100000,49),'Topic Analysis'!$M$6:$M$99+ROW('Topic Analysis'!$M$6:$M$99)/100000,0)+5)</f>
        <v/>
      </c>
      <c r="F54" s="16">
        <f>INDEX('Topic Analysis'!$E:$E,MATCH(LARGE('Topic Analysis'!$M$6:$M$99+ROW('Topic Analysis'!$M$6:$M$99)/100000,49),'Topic Analysis'!$M$6:$M$99+ROW('Topic Analysis'!$M$6:$M$99)/100000,0)+5)+INDEX('Topic Analysis'!$G:$G,MATCH(LARGE('Topic Analysis'!$M$6:$M$99+ROW('Topic Analysis'!$M$6:$M$99)/100000,49),'Topic Analysis'!$M$6:$M$99+ROW('Topic Analysis'!$M$6:$M$99)/100000,0)+5)</f>
        <v/>
      </c>
      <c r="G54" s="48">
        <f>IFERROR(INDEX('Topic Analysis'!$I:$I,MATCH(LARGE('Topic Analysis'!$M$6:$M$99+ROW('Topic Analysis'!$M$6:$M$99)/100000,49),'Topic Analysis'!$M$6:$M$99+ROW('Topic Analysis'!$M$6:$M$99)/100000,0)+5),"—")</f>
        <v/>
      </c>
      <c r="H54" s="56">
        <f>INDEX('Topic Analysis'!$M:$M,MATCH(LARGE('Topic Analysis'!$M$6:$M$99+ROW('Topic Analysis'!$M$6:$M$99)/100000,49),'Topic Analysis'!$M$6:$M$99+ROW('Topic Analysis'!$M$6:$M$99)/100000,0)+5)</f>
        <v/>
      </c>
      <c r="I54" s="8">
        <f>IF(H54&gt;=70,"🔴 URGENT — Review Now",IF(H54&gt;=50,"🟡 Needs Work",IF(H54&gt;=30,"🟢 On Track","✅ Mastered")))</f>
        <v/>
      </c>
    </row>
    <row r="55">
      <c r="B55" s="57" t="n">
        <v>50</v>
      </c>
      <c r="C55" s="22">
        <f>INDEX('Topic Analysis'!$B:$B,MATCH(LARGE('Topic Analysis'!$M$6:$M$99+ROW('Topic Analysis'!$M$6:$M$99)/100000,50),'Topic Analysis'!$M$6:$M$99+ROW('Topic Analysis'!$M$6:$M$99)/100000,0)+5)</f>
        <v/>
      </c>
      <c r="D55" s="10">
        <f>INDEX('Topic Analysis'!$C:$C,MATCH(LARGE('Topic Analysis'!$M$6:$M$99+ROW('Topic Analysis'!$M$6:$M$99)/100000,50),'Topic Analysis'!$M$6:$M$99+ROW('Topic Analysis'!$M$6:$M$99)/100000,0)+5)</f>
        <v/>
      </c>
      <c r="E55" s="10">
        <f>INDEX('Topic Analysis'!$D:$D,MATCH(LARGE('Topic Analysis'!$M$6:$M$99+ROW('Topic Analysis'!$M$6:$M$99)/100000,50),'Topic Analysis'!$M$6:$M$99+ROW('Topic Analysis'!$M$6:$M$99)/100000,0)+5)</f>
        <v/>
      </c>
      <c r="F55" s="22">
        <f>INDEX('Topic Analysis'!$E:$E,MATCH(LARGE('Topic Analysis'!$M$6:$M$99+ROW('Topic Analysis'!$M$6:$M$99)/100000,50),'Topic Analysis'!$M$6:$M$99+ROW('Topic Analysis'!$M$6:$M$99)/100000,0)+5)+INDEX('Topic Analysis'!$G:$G,MATCH(LARGE('Topic Analysis'!$M$6:$M$99+ROW('Topic Analysis'!$M$6:$M$99)/100000,50),'Topic Analysis'!$M$6:$M$99+ROW('Topic Analysis'!$M$6:$M$99)/100000,0)+5)</f>
        <v/>
      </c>
      <c r="G55" s="49">
        <f>IFERROR(INDEX('Topic Analysis'!$I:$I,MATCH(LARGE('Topic Analysis'!$M$6:$M$99+ROW('Topic Analysis'!$M$6:$M$99)/100000,50),'Topic Analysis'!$M$6:$M$99+ROW('Topic Analysis'!$M$6:$M$99)/100000,0)+5),"—")</f>
        <v/>
      </c>
      <c r="H55" s="58">
        <f>INDEX('Topic Analysis'!$M:$M,MATCH(LARGE('Topic Analysis'!$M$6:$M$99+ROW('Topic Analysis'!$M$6:$M$99)/100000,50),'Topic Analysis'!$M$6:$M$99+ROW('Topic Analysis'!$M$6:$M$99)/100000,0)+5)</f>
        <v/>
      </c>
      <c r="I55" s="10">
        <f>IF(H55&gt;=70,"🔴 URGENT — Review Now",IF(H55&gt;=50,"🟡 Needs Work",IF(H55&gt;=30,"🟢 On Track","✅ Mastered")))</f>
        <v/>
      </c>
    </row>
    <row r="56">
      <c r="B56" s="55" t="n">
        <v>51</v>
      </c>
      <c r="C56" s="16">
        <f>INDEX('Topic Analysis'!$B:$B,MATCH(LARGE('Topic Analysis'!$M$6:$M$99+ROW('Topic Analysis'!$M$6:$M$99)/100000,51),'Topic Analysis'!$M$6:$M$99+ROW('Topic Analysis'!$M$6:$M$99)/100000,0)+5)</f>
        <v/>
      </c>
      <c r="D56" s="8">
        <f>INDEX('Topic Analysis'!$C:$C,MATCH(LARGE('Topic Analysis'!$M$6:$M$99+ROW('Topic Analysis'!$M$6:$M$99)/100000,51),'Topic Analysis'!$M$6:$M$99+ROW('Topic Analysis'!$M$6:$M$99)/100000,0)+5)</f>
        <v/>
      </c>
      <c r="E56" s="8">
        <f>INDEX('Topic Analysis'!$D:$D,MATCH(LARGE('Topic Analysis'!$M$6:$M$99+ROW('Topic Analysis'!$M$6:$M$99)/100000,51),'Topic Analysis'!$M$6:$M$99+ROW('Topic Analysis'!$M$6:$M$99)/100000,0)+5)</f>
        <v/>
      </c>
      <c r="F56" s="16">
        <f>INDEX('Topic Analysis'!$E:$E,MATCH(LARGE('Topic Analysis'!$M$6:$M$99+ROW('Topic Analysis'!$M$6:$M$99)/100000,51),'Topic Analysis'!$M$6:$M$99+ROW('Topic Analysis'!$M$6:$M$99)/100000,0)+5)+INDEX('Topic Analysis'!$G:$G,MATCH(LARGE('Topic Analysis'!$M$6:$M$99+ROW('Topic Analysis'!$M$6:$M$99)/100000,51),'Topic Analysis'!$M$6:$M$99+ROW('Topic Analysis'!$M$6:$M$99)/100000,0)+5)</f>
        <v/>
      </c>
      <c r="G56" s="48">
        <f>IFERROR(INDEX('Topic Analysis'!$I:$I,MATCH(LARGE('Topic Analysis'!$M$6:$M$99+ROW('Topic Analysis'!$M$6:$M$99)/100000,51),'Topic Analysis'!$M$6:$M$99+ROW('Topic Analysis'!$M$6:$M$99)/100000,0)+5),"—")</f>
        <v/>
      </c>
      <c r="H56" s="56">
        <f>INDEX('Topic Analysis'!$M:$M,MATCH(LARGE('Topic Analysis'!$M$6:$M$99+ROW('Topic Analysis'!$M$6:$M$99)/100000,51),'Topic Analysis'!$M$6:$M$99+ROW('Topic Analysis'!$M$6:$M$99)/100000,0)+5)</f>
        <v/>
      </c>
      <c r="I56" s="8">
        <f>IF(H56&gt;=70,"🔴 URGENT — Review Now",IF(H56&gt;=50,"🟡 Needs Work",IF(H56&gt;=30,"🟢 On Track","✅ Mastered")))</f>
        <v/>
      </c>
    </row>
    <row r="57">
      <c r="B57" s="57" t="n">
        <v>52</v>
      </c>
      <c r="C57" s="22">
        <f>INDEX('Topic Analysis'!$B:$B,MATCH(LARGE('Topic Analysis'!$M$6:$M$99+ROW('Topic Analysis'!$M$6:$M$99)/100000,52),'Topic Analysis'!$M$6:$M$99+ROW('Topic Analysis'!$M$6:$M$99)/100000,0)+5)</f>
        <v/>
      </c>
      <c r="D57" s="10">
        <f>INDEX('Topic Analysis'!$C:$C,MATCH(LARGE('Topic Analysis'!$M$6:$M$99+ROW('Topic Analysis'!$M$6:$M$99)/100000,52),'Topic Analysis'!$M$6:$M$99+ROW('Topic Analysis'!$M$6:$M$99)/100000,0)+5)</f>
        <v/>
      </c>
      <c r="E57" s="10">
        <f>INDEX('Topic Analysis'!$D:$D,MATCH(LARGE('Topic Analysis'!$M$6:$M$99+ROW('Topic Analysis'!$M$6:$M$99)/100000,52),'Topic Analysis'!$M$6:$M$99+ROW('Topic Analysis'!$M$6:$M$99)/100000,0)+5)</f>
        <v/>
      </c>
      <c r="F57" s="22">
        <f>INDEX('Topic Analysis'!$E:$E,MATCH(LARGE('Topic Analysis'!$M$6:$M$99+ROW('Topic Analysis'!$M$6:$M$99)/100000,52),'Topic Analysis'!$M$6:$M$99+ROW('Topic Analysis'!$M$6:$M$99)/100000,0)+5)+INDEX('Topic Analysis'!$G:$G,MATCH(LARGE('Topic Analysis'!$M$6:$M$99+ROW('Topic Analysis'!$M$6:$M$99)/100000,52),'Topic Analysis'!$M$6:$M$99+ROW('Topic Analysis'!$M$6:$M$99)/100000,0)+5)</f>
        <v/>
      </c>
      <c r="G57" s="49">
        <f>IFERROR(INDEX('Topic Analysis'!$I:$I,MATCH(LARGE('Topic Analysis'!$M$6:$M$99+ROW('Topic Analysis'!$M$6:$M$99)/100000,52),'Topic Analysis'!$M$6:$M$99+ROW('Topic Analysis'!$M$6:$M$99)/100000,0)+5),"—")</f>
        <v/>
      </c>
      <c r="H57" s="58">
        <f>INDEX('Topic Analysis'!$M:$M,MATCH(LARGE('Topic Analysis'!$M$6:$M$99+ROW('Topic Analysis'!$M$6:$M$99)/100000,52),'Topic Analysis'!$M$6:$M$99+ROW('Topic Analysis'!$M$6:$M$99)/100000,0)+5)</f>
        <v/>
      </c>
      <c r="I57" s="10">
        <f>IF(H57&gt;=70,"🔴 URGENT — Review Now",IF(H57&gt;=50,"🟡 Needs Work",IF(H57&gt;=30,"🟢 On Track","✅ Mastered")))</f>
        <v/>
      </c>
    </row>
    <row r="58">
      <c r="B58" s="55" t="n">
        <v>53</v>
      </c>
      <c r="C58" s="16">
        <f>INDEX('Topic Analysis'!$B:$B,MATCH(LARGE('Topic Analysis'!$M$6:$M$99+ROW('Topic Analysis'!$M$6:$M$99)/100000,53),'Topic Analysis'!$M$6:$M$99+ROW('Topic Analysis'!$M$6:$M$99)/100000,0)+5)</f>
        <v/>
      </c>
      <c r="D58" s="8">
        <f>INDEX('Topic Analysis'!$C:$C,MATCH(LARGE('Topic Analysis'!$M$6:$M$99+ROW('Topic Analysis'!$M$6:$M$99)/100000,53),'Topic Analysis'!$M$6:$M$99+ROW('Topic Analysis'!$M$6:$M$99)/100000,0)+5)</f>
        <v/>
      </c>
      <c r="E58" s="8">
        <f>INDEX('Topic Analysis'!$D:$D,MATCH(LARGE('Topic Analysis'!$M$6:$M$99+ROW('Topic Analysis'!$M$6:$M$99)/100000,53),'Topic Analysis'!$M$6:$M$99+ROW('Topic Analysis'!$M$6:$M$99)/100000,0)+5)</f>
        <v/>
      </c>
      <c r="F58" s="16">
        <f>INDEX('Topic Analysis'!$E:$E,MATCH(LARGE('Topic Analysis'!$M$6:$M$99+ROW('Topic Analysis'!$M$6:$M$99)/100000,53),'Topic Analysis'!$M$6:$M$99+ROW('Topic Analysis'!$M$6:$M$99)/100000,0)+5)+INDEX('Topic Analysis'!$G:$G,MATCH(LARGE('Topic Analysis'!$M$6:$M$99+ROW('Topic Analysis'!$M$6:$M$99)/100000,53),'Topic Analysis'!$M$6:$M$99+ROW('Topic Analysis'!$M$6:$M$99)/100000,0)+5)</f>
        <v/>
      </c>
      <c r="G58" s="48">
        <f>IFERROR(INDEX('Topic Analysis'!$I:$I,MATCH(LARGE('Topic Analysis'!$M$6:$M$99+ROW('Topic Analysis'!$M$6:$M$99)/100000,53),'Topic Analysis'!$M$6:$M$99+ROW('Topic Analysis'!$M$6:$M$99)/100000,0)+5),"—")</f>
        <v/>
      </c>
      <c r="H58" s="56">
        <f>INDEX('Topic Analysis'!$M:$M,MATCH(LARGE('Topic Analysis'!$M$6:$M$99+ROW('Topic Analysis'!$M$6:$M$99)/100000,53),'Topic Analysis'!$M$6:$M$99+ROW('Topic Analysis'!$M$6:$M$99)/100000,0)+5)</f>
        <v/>
      </c>
      <c r="I58" s="8">
        <f>IF(H58&gt;=70,"🔴 URGENT — Review Now",IF(H58&gt;=50,"🟡 Needs Work",IF(H58&gt;=30,"🟢 On Track","✅ Mastered")))</f>
        <v/>
      </c>
    </row>
    <row r="59">
      <c r="B59" s="57" t="n">
        <v>54</v>
      </c>
      <c r="C59" s="22">
        <f>INDEX('Topic Analysis'!$B:$B,MATCH(LARGE('Topic Analysis'!$M$6:$M$99+ROW('Topic Analysis'!$M$6:$M$99)/100000,54),'Topic Analysis'!$M$6:$M$99+ROW('Topic Analysis'!$M$6:$M$99)/100000,0)+5)</f>
        <v/>
      </c>
      <c r="D59" s="10">
        <f>INDEX('Topic Analysis'!$C:$C,MATCH(LARGE('Topic Analysis'!$M$6:$M$99+ROW('Topic Analysis'!$M$6:$M$99)/100000,54),'Topic Analysis'!$M$6:$M$99+ROW('Topic Analysis'!$M$6:$M$99)/100000,0)+5)</f>
        <v/>
      </c>
      <c r="E59" s="10">
        <f>INDEX('Topic Analysis'!$D:$D,MATCH(LARGE('Topic Analysis'!$M$6:$M$99+ROW('Topic Analysis'!$M$6:$M$99)/100000,54),'Topic Analysis'!$M$6:$M$99+ROW('Topic Analysis'!$M$6:$M$99)/100000,0)+5)</f>
        <v/>
      </c>
      <c r="F59" s="22">
        <f>INDEX('Topic Analysis'!$E:$E,MATCH(LARGE('Topic Analysis'!$M$6:$M$99+ROW('Topic Analysis'!$M$6:$M$99)/100000,54),'Topic Analysis'!$M$6:$M$99+ROW('Topic Analysis'!$M$6:$M$99)/100000,0)+5)+INDEX('Topic Analysis'!$G:$G,MATCH(LARGE('Topic Analysis'!$M$6:$M$99+ROW('Topic Analysis'!$M$6:$M$99)/100000,54),'Topic Analysis'!$M$6:$M$99+ROW('Topic Analysis'!$M$6:$M$99)/100000,0)+5)</f>
        <v/>
      </c>
      <c r="G59" s="49">
        <f>IFERROR(INDEX('Topic Analysis'!$I:$I,MATCH(LARGE('Topic Analysis'!$M$6:$M$99+ROW('Topic Analysis'!$M$6:$M$99)/100000,54),'Topic Analysis'!$M$6:$M$99+ROW('Topic Analysis'!$M$6:$M$99)/100000,0)+5),"—")</f>
        <v/>
      </c>
      <c r="H59" s="58">
        <f>INDEX('Topic Analysis'!$M:$M,MATCH(LARGE('Topic Analysis'!$M$6:$M$99+ROW('Topic Analysis'!$M$6:$M$99)/100000,54),'Topic Analysis'!$M$6:$M$99+ROW('Topic Analysis'!$M$6:$M$99)/100000,0)+5)</f>
        <v/>
      </c>
      <c r="I59" s="10">
        <f>IF(H59&gt;=70,"🔴 URGENT — Review Now",IF(H59&gt;=50,"🟡 Needs Work",IF(H59&gt;=30,"🟢 On Track","✅ Mastered")))</f>
        <v/>
      </c>
    </row>
    <row r="60">
      <c r="B60" s="55" t="n">
        <v>55</v>
      </c>
      <c r="C60" s="16">
        <f>INDEX('Topic Analysis'!$B:$B,MATCH(LARGE('Topic Analysis'!$M$6:$M$99+ROW('Topic Analysis'!$M$6:$M$99)/100000,55),'Topic Analysis'!$M$6:$M$99+ROW('Topic Analysis'!$M$6:$M$99)/100000,0)+5)</f>
        <v/>
      </c>
      <c r="D60" s="8">
        <f>INDEX('Topic Analysis'!$C:$C,MATCH(LARGE('Topic Analysis'!$M$6:$M$99+ROW('Topic Analysis'!$M$6:$M$99)/100000,55),'Topic Analysis'!$M$6:$M$99+ROW('Topic Analysis'!$M$6:$M$99)/100000,0)+5)</f>
        <v/>
      </c>
      <c r="E60" s="8">
        <f>INDEX('Topic Analysis'!$D:$D,MATCH(LARGE('Topic Analysis'!$M$6:$M$99+ROW('Topic Analysis'!$M$6:$M$99)/100000,55),'Topic Analysis'!$M$6:$M$99+ROW('Topic Analysis'!$M$6:$M$99)/100000,0)+5)</f>
        <v/>
      </c>
      <c r="F60" s="16">
        <f>INDEX('Topic Analysis'!$E:$E,MATCH(LARGE('Topic Analysis'!$M$6:$M$99+ROW('Topic Analysis'!$M$6:$M$99)/100000,55),'Topic Analysis'!$M$6:$M$99+ROW('Topic Analysis'!$M$6:$M$99)/100000,0)+5)+INDEX('Topic Analysis'!$G:$G,MATCH(LARGE('Topic Analysis'!$M$6:$M$99+ROW('Topic Analysis'!$M$6:$M$99)/100000,55),'Topic Analysis'!$M$6:$M$99+ROW('Topic Analysis'!$M$6:$M$99)/100000,0)+5)</f>
        <v/>
      </c>
      <c r="G60" s="48">
        <f>IFERROR(INDEX('Topic Analysis'!$I:$I,MATCH(LARGE('Topic Analysis'!$M$6:$M$99+ROW('Topic Analysis'!$M$6:$M$99)/100000,55),'Topic Analysis'!$M$6:$M$99+ROW('Topic Analysis'!$M$6:$M$99)/100000,0)+5),"—")</f>
        <v/>
      </c>
      <c r="H60" s="56">
        <f>INDEX('Topic Analysis'!$M:$M,MATCH(LARGE('Topic Analysis'!$M$6:$M$99+ROW('Topic Analysis'!$M$6:$M$99)/100000,55),'Topic Analysis'!$M$6:$M$99+ROW('Topic Analysis'!$M$6:$M$99)/100000,0)+5)</f>
        <v/>
      </c>
      <c r="I60" s="8">
        <f>IF(H60&gt;=70,"🔴 URGENT — Review Now",IF(H60&gt;=50,"🟡 Needs Work",IF(H60&gt;=30,"🟢 On Track","✅ Mastered")))</f>
        <v/>
      </c>
    </row>
    <row r="61">
      <c r="B61" s="57" t="n">
        <v>56</v>
      </c>
      <c r="C61" s="22">
        <f>INDEX('Topic Analysis'!$B:$B,MATCH(LARGE('Topic Analysis'!$M$6:$M$99+ROW('Topic Analysis'!$M$6:$M$99)/100000,56),'Topic Analysis'!$M$6:$M$99+ROW('Topic Analysis'!$M$6:$M$99)/100000,0)+5)</f>
        <v/>
      </c>
      <c r="D61" s="10">
        <f>INDEX('Topic Analysis'!$C:$C,MATCH(LARGE('Topic Analysis'!$M$6:$M$99+ROW('Topic Analysis'!$M$6:$M$99)/100000,56),'Topic Analysis'!$M$6:$M$99+ROW('Topic Analysis'!$M$6:$M$99)/100000,0)+5)</f>
        <v/>
      </c>
      <c r="E61" s="10">
        <f>INDEX('Topic Analysis'!$D:$D,MATCH(LARGE('Topic Analysis'!$M$6:$M$99+ROW('Topic Analysis'!$M$6:$M$99)/100000,56),'Topic Analysis'!$M$6:$M$99+ROW('Topic Analysis'!$M$6:$M$99)/100000,0)+5)</f>
        <v/>
      </c>
      <c r="F61" s="22">
        <f>INDEX('Topic Analysis'!$E:$E,MATCH(LARGE('Topic Analysis'!$M$6:$M$99+ROW('Topic Analysis'!$M$6:$M$99)/100000,56),'Topic Analysis'!$M$6:$M$99+ROW('Topic Analysis'!$M$6:$M$99)/100000,0)+5)+INDEX('Topic Analysis'!$G:$G,MATCH(LARGE('Topic Analysis'!$M$6:$M$99+ROW('Topic Analysis'!$M$6:$M$99)/100000,56),'Topic Analysis'!$M$6:$M$99+ROW('Topic Analysis'!$M$6:$M$99)/100000,0)+5)</f>
        <v/>
      </c>
      <c r="G61" s="49">
        <f>IFERROR(INDEX('Topic Analysis'!$I:$I,MATCH(LARGE('Topic Analysis'!$M$6:$M$99+ROW('Topic Analysis'!$M$6:$M$99)/100000,56),'Topic Analysis'!$M$6:$M$99+ROW('Topic Analysis'!$M$6:$M$99)/100000,0)+5),"—")</f>
        <v/>
      </c>
      <c r="H61" s="58">
        <f>INDEX('Topic Analysis'!$M:$M,MATCH(LARGE('Topic Analysis'!$M$6:$M$99+ROW('Topic Analysis'!$M$6:$M$99)/100000,56),'Topic Analysis'!$M$6:$M$99+ROW('Topic Analysis'!$M$6:$M$99)/100000,0)+5)</f>
        <v/>
      </c>
      <c r="I61" s="10">
        <f>IF(H61&gt;=70,"🔴 URGENT — Review Now",IF(H61&gt;=50,"🟡 Needs Work",IF(H61&gt;=30,"🟢 On Track","✅ Mastered")))</f>
        <v/>
      </c>
    </row>
    <row r="62">
      <c r="B62" s="55" t="n">
        <v>57</v>
      </c>
      <c r="C62" s="16">
        <f>INDEX('Topic Analysis'!$B:$B,MATCH(LARGE('Topic Analysis'!$M$6:$M$99+ROW('Topic Analysis'!$M$6:$M$99)/100000,57),'Topic Analysis'!$M$6:$M$99+ROW('Topic Analysis'!$M$6:$M$99)/100000,0)+5)</f>
        <v/>
      </c>
      <c r="D62" s="8">
        <f>INDEX('Topic Analysis'!$C:$C,MATCH(LARGE('Topic Analysis'!$M$6:$M$99+ROW('Topic Analysis'!$M$6:$M$99)/100000,57),'Topic Analysis'!$M$6:$M$99+ROW('Topic Analysis'!$M$6:$M$99)/100000,0)+5)</f>
        <v/>
      </c>
      <c r="E62" s="8">
        <f>INDEX('Topic Analysis'!$D:$D,MATCH(LARGE('Topic Analysis'!$M$6:$M$99+ROW('Topic Analysis'!$M$6:$M$99)/100000,57),'Topic Analysis'!$M$6:$M$99+ROW('Topic Analysis'!$M$6:$M$99)/100000,0)+5)</f>
        <v/>
      </c>
      <c r="F62" s="16">
        <f>INDEX('Topic Analysis'!$E:$E,MATCH(LARGE('Topic Analysis'!$M$6:$M$99+ROW('Topic Analysis'!$M$6:$M$99)/100000,57),'Topic Analysis'!$M$6:$M$99+ROW('Topic Analysis'!$M$6:$M$99)/100000,0)+5)+INDEX('Topic Analysis'!$G:$G,MATCH(LARGE('Topic Analysis'!$M$6:$M$99+ROW('Topic Analysis'!$M$6:$M$99)/100000,57),'Topic Analysis'!$M$6:$M$99+ROW('Topic Analysis'!$M$6:$M$99)/100000,0)+5)</f>
        <v/>
      </c>
      <c r="G62" s="48">
        <f>IFERROR(INDEX('Topic Analysis'!$I:$I,MATCH(LARGE('Topic Analysis'!$M$6:$M$99+ROW('Topic Analysis'!$M$6:$M$99)/100000,57),'Topic Analysis'!$M$6:$M$99+ROW('Topic Analysis'!$M$6:$M$99)/100000,0)+5),"—")</f>
        <v/>
      </c>
      <c r="H62" s="56">
        <f>INDEX('Topic Analysis'!$M:$M,MATCH(LARGE('Topic Analysis'!$M$6:$M$99+ROW('Topic Analysis'!$M$6:$M$99)/100000,57),'Topic Analysis'!$M$6:$M$99+ROW('Topic Analysis'!$M$6:$M$99)/100000,0)+5)</f>
        <v/>
      </c>
      <c r="I62" s="8">
        <f>IF(H62&gt;=70,"🔴 URGENT — Review Now",IF(H62&gt;=50,"🟡 Needs Work",IF(H62&gt;=30,"🟢 On Track","✅ Mastered")))</f>
        <v/>
      </c>
    </row>
    <row r="63">
      <c r="B63" s="57" t="n">
        <v>58</v>
      </c>
      <c r="C63" s="22">
        <f>INDEX('Topic Analysis'!$B:$B,MATCH(LARGE('Topic Analysis'!$M$6:$M$99+ROW('Topic Analysis'!$M$6:$M$99)/100000,58),'Topic Analysis'!$M$6:$M$99+ROW('Topic Analysis'!$M$6:$M$99)/100000,0)+5)</f>
        <v/>
      </c>
      <c r="D63" s="10">
        <f>INDEX('Topic Analysis'!$C:$C,MATCH(LARGE('Topic Analysis'!$M$6:$M$99+ROW('Topic Analysis'!$M$6:$M$99)/100000,58),'Topic Analysis'!$M$6:$M$99+ROW('Topic Analysis'!$M$6:$M$99)/100000,0)+5)</f>
        <v/>
      </c>
      <c r="E63" s="10">
        <f>INDEX('Topic Analysis'!$D:$D,MATCH(LARGE('Topic Analysis'!$M$6:$M$99+ROW('Topic Analysis'!$M$6:$M$99)/100000,58),'Topic Analysis'!$M$6:$M$99+ROW('Topic Analysis'!$M$6:$M$99)/100000,0)+5)</f>
        <v/>
      </c>
      <c r="F63" s="22">
        <f>INDEX('Topic Analysis'!$E:$E,MATCH(LARGE('Topic Analysis'!$M$6:$M$99+ROW('Topic Analysis'!$M$6:$M$99)/100000,58),'Topic Analysis'!$M$6:$M$99+ROW('Topic Analysis'!$M$6:$M$99)/100000,0)+5)+INDEX('Topic Analysis'!$G:$G,MATCH(LARGE('Topic Analysis'!$M$6:$M$99+ROW('Topic Analysis'!$M$6:$M$99)/100000,58),'Topic Analysis'!$M$6:$M$99+ROW('Topic Analysis'!$M$6:$M$99)/100000,0)+5)</f>
        <v/>
      </c>
      <c r="G63" s="49">
        <f>IFERROR(INDEX('Topic Analysis'!$I:$I,MATCH(LARGE('Topic Analysis'!$M$6:$M$99+ROW('Topic Analysis'!$M$6:$M$99)/100000,58),'Topic Analysis'!$M$6:$M$99+ROW('Topic Analysis'!$M$6:$M$99)/100000,0)+5),"—")</f>
        <v/>
      </c>
      <c r="H63" s="58">
        <f>INDEX('Topic Analysis'!$M:$M,MATCH(LARGE('Topic Analysis'!$M$6:$M$99+ROW('Topic Analysis'!$M$6:$M$99)/100000,58),'Topic Analysis'!$M$6:$M$99+ROW('Topic Analysis'!$M$6:$M$99)/100000,0)+5)</f>
        <v/>
      </c>
      <c r="I63" s="10">
        <f>IF(H63&gt;=70,"🔴 URGENT — Review Now",IF(H63&gt;=50,"🟡 Needs Work",IF(H63&gt;=30,"🟢 On Track","✅ Mastered")))</f>
        <v/>
      </c>
    </row>
    <row r="64">
      <c r="B64" s="55" t="n">
        <v>59</v>
      </c>
      <c r="C64" s="16">
        <f>INDEX('Topic Analysis'!$B:$B,MATCH(LARGE('Topic Analysis'!$M$6:$M$99+ROW('Topic Analysis'!$M$6:$M$99)/100000,59),'Topic Analysis'!$M$6:$M$99+ROW('Topic Analysis'!$M$6:$M$99)/100000,0)+5)</f>
        <v/>
      </c>
      <c r="D64" s="8">
        <f>INDEX('Topic Analysis'!$C:$C,MATCH(LARGE('Topic Analysis'!$M$6:$M$99+ROW('Topic Analysis'!$M$6:$M$99)/100000,59),'Topic Analysis'!$M$6:$M$99+ROW('Topic Analysis'!$M$6:$M$99)/100000,0)+5)</f>
        <v/>
      </c>
      <c r="E64" s="8">
        <f>INDEX('Topic Analysis'!$D:$D,MATCH(LARGE('Topic Analysis'!$M$6:$M$99+ROW('Topic Analysis'!$M$6:$M$99)/100000,59),'Topic Analysis'!$M$6:$M$99+ROW('Topic Analysis'!$M$6:$M$99)/100000,0)+5)</f>
        <v/>
      </c>
      <c r="F64" s="16">
        <f>INDEX('Topic Analysis'!$E:$E,MATCH(LARGE('Topic Analysis'!$M$6:$M$99+ROW('Topic Analysis'!$M$6:$M$99)/100000,59),'Topic Analysis'!$M$6:$M$99+ROW('Topic Analysis'!$M$6:$M$99)/100000,0)+5)+INDEX('Topic Analysis'!$G:$G,MATCH(LARGE('Topic Analysis'!$M$6:$M$99+ROW('Topic Analysis'!$M$6:$M$99)/100000,59),'Topic Analysis'!$M$6:$M$99+ROW('Topic Analysis'!$M$6:$M$99)/100000,0)+5)</f>
        <v/>
      </c>
      <c r="G64" s="48">
        <f>IFERROR(INDEX('Topic Analysis'!$I:$I,MATCH(LARGE('Topic Analysis'!$M$6:$M$99+ROW('Topic Analysis'!$M$6:$M$99)/100000,59),'Topic Analysis'!$M$6:$M$99+ROW('Topic Analysis'!$M$6:$M$99)/100000,0)+5),"—")</f>
        <v/>
      </c>
      <c r="H64" s="56">
        <f>INDEX('Topic Analysis'!$M:$M,MATCH(LARGE('Topic Analysis'!$M$6:$M$99+ROW('Topic Analysis'!$M$6:$M$99)/100000,59),'Topic Analysis'!$M$6:$M$99+ROW('Topic Analysis'!$M$6:$M$99)/100000,0)+5)</f>
        <v/>
      </c>
      <c r="I64" s="8">
        <f>IF(H64&gt;=70,"🔴 URGENT — Review Now",IF(H64&gt;=50,"🟡 Needs Work",IF(H64&gt;=30,"🟢 On Track","✅ Mastered")))</f>
        <v/>
      </c>
    </row>
    <row r="65">
      <c r="B65" s="57" t="n">
        <v>60</v>
      </c>
      <c r="C65" s="22">
        <f>INDEX('Topic Analysis'!$B:$B,MATCH(LARGE('Topic Analysis'!$M$6:$M$99+ROW('Topic Analysis'!$M$6:$M$99)/100000,60),'Topic Analysis'!$M$6:$M$99+ROW('Topic Analysis'!$M$6:$M$99)/100000,0)+5)</f>
        <v/>
      </c>
      <c r="D65" s="10">
        <f>INDEX('Topic Analysis'!$C:$C,MATCH(LARGE('Topic Analysis'!$M$6:$M$99+ROW('Topic Analysis'!$M$6:$M$99)/100000,60),'Topic Analysis'!$M$6:$M$99+ROW('Topic Analysis'!$M$6:$M$99)/100000,0)+5)</f>
        <v/>
      </c>
      <c r="E65" s="10">
        <f>INDEX('Topic Analysis'!$D:$D,MATCH(LARGE('Topic Analysis'!$M$6:$M$99+ROW('Topic Analysis'!$M$6:$M$99)/100000,60),'Topic Analysis'!$M$6:$M$99+ROW('Topic Analysis'!$M$6:$M$99)/100000,0)+5)</f>
        <v/>
      </c>
      <c r="F65" s="22">
        <f>INDEX('Topic Analysis'!$E:$E,MATCH(LARGE('Topic Analysis'!$M$6:$M$99+ROW('Topic Analysis'!$M$6:$M$99)/100000,60),'Topic Analysis'!$M$6:$M$99+ROW('Topic Analysis'!$M$6:$M$99)/100000,0)+5)+INDEX('Topic Analysis'!$G:$G,MATCH(LARGE('Topic Analysis'!$M$6:$M$99+ROW('Topic Analysis'!$M$6:$M$99)/100000,60),'Topic Analysis'!$M$6:$M$99+ROW('Topic Analysis'!$M$6:$M$99)/100000,0)+5)</f>
        <v/>
      </c>
      <c r="G65" s="49">
        <f>IFERROR(INDEX('Topic Analysis'!$I:$I,MATCH(LARGE('Topic Analysis'!$M$6:$M$99+ROW('Topic Analysis'!$M$6:$M$99)/100000,60),'Topic Analysis'!$M$6:$M$99+ROW('Topic Analysis'!$M$6:$M$99)/100000,0)+5),"—")</f>
        <v/>
      </c>
      <c r="H65" s="58">
        <f>INDEX('Topic Analysis'!$M:$M,MATCH(LARGE('Topic Analysis'!$M$6:$M$99+ROW('Topic Analysis'!$M$6:$M$99)/100000,60),'Topic Analysis'!$M$6:$M$99+ROW('Topic Analysis'!$M$6:$M$99)/100000,0)+5)</f>
        <v/>
      </c>
      <c r="I65" s="10">
        <f>IF(H65&gt;=70,"🔴 URGENT — Review Now",IF(H65&gt;=50,"🟡 Needs Work",IF(H65&gt;=30,"🟢 On Track","✅ Mastered")))</f>
        <v/>
      </c>
    </row>
  </sheetData>
  <mergeCells count="2">
    <mergeCell ref="B3:H3"/>
    <mergeCell ref="B2:H2"/>
  </mergeCells>
  <conditionalFormatting sqref="H6:H65">
    <cfRule type="colorScale" priority="1">
      <colorScale>
        <cfvo type="num" val="0"/>
        <cfvo type="num" val="50"/>
        <cfvo type="num" val="100"/>
        <color rgb="0063BE7B"/>
        <color rgb="00FFEB84"/>
        <color rgb="00F8696B"/>
      </colorScale>
    </cfRule>
  </conditionalFormatting>
  <conditionalFormatting sqref="I6:I65">
    <cfRule type="expression" priority="2" dxfId="0">
      <formula>ISNUMBER(SEARCH("URGENT",I6))</formula>
    </cfRule>
    <cfRule type="expression" priority="3" dxfId="1">
      <formula>ISNUMBER(SEARCH("Needs Work",I6))</formula>
    </cfRule>
    <cfRule type="expression" priority="4" dxfId="2">
      <formula>ISNUMBER(SEARCH("On Track",I6))</formula>
    </cfRule>
    <cfRule type="expression" priority="5" dxfId="2">
      <formula>ISNUMBER(SEARCH("Mastered",I6))</formula>
    </cfRule>
  </conditionalFormatting>
  <conditionalFormatting sqref="G6:G65">
    <cfRule type="colorScale" priority="6">
      <colorScale>
        <cfvo type="num" val="0"/>
        <cfvo type="num" val="0.6"/>
        <cfvo type="num" val="1"/>
        <color rgb="00F8696B"/>
        <color rgb="00FFEB84"/>
        <color rgb="0063BE7B"/>
      </colorScale>
    </cfRule>
  </conditionalFormatting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002E4A87"/>
    <outlinePr summaryBelow="1" summaryRight="1"/>
    <pageSetUpPr/>
  </sheetPr>
  <dimension ref="B2:K64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5" customWidth="1" min="2" max="2"/>
    <col width="40" customWidth="1" min="3" max="3"/>
    <col width="55" customWidth="1" min="4" max="4"/>
    <col width="3" customWidth="1" min="5" max="5"/>
    <col width="5" customWidth="1" min="6" max="6"/>
    <col width="40" customWidth="1" min="7" max="7"/>
    <col width="55" customWidth="1" min="8" max="8"/>
    <col width="3" customWidth="1" min="9" max="9"/>
    <col width="3" customWidth="1" min="10" max="10"/>
    <col width="24" customWidth="1" min="11" max="11"/>
  </cols>
  <sheetData>
    <row r="2" ht="28" customHeight="1">
      <c r="B2" s="1" t="inlineStr">
        <is>
          <t>📚  TOPIC REFERENCE LIST</t>
        </is>
      </c>
      <c r="K2" s="2" t="inlineStr">
        <is>
          <t>UNIT</t>
        </is>
      </c>
    </row>
    <row r="3">
      <c r="B3" s="3" t="inlineStr">
        <is>
          <t>Auto-populated topic database  ·  Used by dropdowns on Assignments and Quizzes</t>
        </is>
      </c>
      <c r="K3" s="4" t="inlineStr">
        <is>
          <t>Unit 1</t>
        </is>
      </c>
    </row>
    <row r="4">
      <c r="K4" s="4" t="inlineStr">
        <is>
          <t>Unit 2</t>
        </is>
      </c>
    </row>
    <row r="5">
      <c r="B5" s="5" t="inlineStr">
        <is>
          <t>UNIT 1</t>
        </is>
      </c>
      <c r="F5" s="5" t="inlineStr">
        <is>
          <t>UNIT 2</t>
        </is>
      </c>
    </row>
    <row r="6">
      <c r="B6" s="6" t="inlineStr">
        <is>
          <t>#</t>
        </is>
      </c>
      <c r="C6" s="6" t="inlineStr">
        <is>
          <t>Category</t>
        </is>
      </c>
      <c r="D6" s="6" t="inlineStr">
        <is>
          <t>Topic Name</t>
        </is>
      </c>
      <c r="F6" s="6" t="inlineStr">
        <is>
          <t>#</t>
        </is>
      </c>
      <c r="G6" s="6" t="inlineStr">
        <is>
          <t>Category</t>
        </is>
      </c>
      <c r="H6" s="6" t="inlineStr">
        <is>
          <t>Topic Name</t>
        </is>
      </c>
    </row>
    <row r="7">
      <c r="B7" s="7" t="n">
        <v>1</v>
      </c>
      <c r="C7" s="8" t="inlineStr">
        <is>
          <t>1. Numbers &amp; the Number System</t>
        </is>
      </c>
      <c r="D7" s="8" t="inlineStr">
        <is>
          <t>Number Toolkit</t>
        </is>
      </c>
      <c r="F7" s="7" t="n">
        <v>1</v>
      </c>
      <c r="G7" s="8" t="inlineStr">
        <is>
          <t>1. Numbers and the Number System</t>
        </is>
      </c>
      <c r="H7" s="8" t="inlineStr">
        <is>
          <t>Prime Factors, HCF &amp; LCM (Foundation)</t>
        </is>
      </c>
      <c r="K7" s="2" t="inlineStr">
        <is>
          <t>ASSIGNMENT TYPE</t>
        </is>
      </c>
    </row>
    <row r="8">
      <c r="B8" s="9" t="n">
        <v>2</v>
      </c>
      <c r="C8" s="10" t="inlineStr">
        <is>
          <t>1. Numbers &amp; the Number System</t>
        </is>
      </c>
      <c r="D8" s="10" t="inlineStr">
        <is>
          <t>Set Notation &amp; Venn Diagrams</t>
        </is>
      </c>
      <c r="F8" s="9" t="n">
        <v>2</v>
      </c>
      <c r="G8" s="10" t="inlineStr">
        <is>
          <t>1. Numbers and the Number System</t>
        </is>
      </c>
      <c r="H8" s="10" t="inlineStr">
        <is>
          <t>Standard Form (Foundation / Higher)</t>
        </is>
      </c>
      <c r="K8" s="4" t="inlineStr">
        <is>
          <t>Homework</t>
        </is>
      </c>
    </row>
    <row r="9">
      <c r="B9" s="7" t="n">
        <v>3</v>
      </c>
      <c r="C9" s="8" t="inlineStr">
        <is>
          <t>1. Numbers &amp; the Number System</t>
        </is>
      </c>
      <c r="D9" s="8" t="inlineStr">
        <is>
          <t>Prime Factors, HCF &amp; LCM</t>
        </is>
      </c>
      <c r="F9" s="7" t="n">
        <v>3</v>
      </c>
      <c r="G9" s="8" t="inlineStr">
        <is>
          <t>1. Numbers and the Number System</t>
        </is>
      </c>
      <c r="H9" s="8" t="inlineStr">
        <is>
          <t>Compound Interest &amp; Depreciation (Foundation)</t>
        </is>
      </c>
      <c r="K9" s="4" t="inlineStr">
        <is>
          <t>Classwork</t>
        </is>
      </c>
    </row>
    <row r="10">
      <c r="B10" s="9" t="n">
        <v>4</v>
      </c>
      <c r="C10" s="10" t="inlineStr">
        <is>
          <t>1. Numbers &amp; the Number System</t>
        </is>
      </c>
      <c r="D10" s="10" t="inlineStr">
        <is>
          <t>Powers, Roots &amp; Standard Form</t>
        </is>
      </c>
      <c r="F10" s="9" t="n">
        <v>4</v>
      </c>
      <c r="G10" s="10" t="inlineStr">
        <is>
          <t>1. Numbers and the Number System</t>
        </is>
      </c>
      <c r="H10" s="10" t="inlineStr">
        <is>
          <t>Reverse Percentages (Foundation)</t>
        </is>
      </c>
      <c r="K10" s="4" t="inlineStr">
        <is>
          <t>Worksheet</t>
        </is>
      </c>
    </row>
    <row r="11">
      <c r="B11" s="7" t="n">
        <v>5</v>
      </c>
      <c r="C11" s="8" t="inlineStr">
        <is>
          <t>1. Numbers &amp; the Number System</t>
        </is>
      </c>
      <c r="D11" s="8" t="inlineStr">
        <is>
          <t>Fractions</t>
        </is>
      </c>
      <c r="F11" s="7" t="n">
        <v>5</v>
      </c>
      <c r="G11" s="8" t="inlineStr">
        <is>
          <t>1. Numbers and the Number System</t>
        </is>
      </c>
      <c r="H11" s="8" t="inlineStr">
        <is>
          <t>Repeated Percentage Change (Higher)</t>
        </is>
      </c>
      <c r="K11" s="4" t="inlineStr">
        <is>
          <t>Past Paper Qs</t>
        </is>
      </c>
    </row>
    <row r="12">
      <c r="B12" s="9" t="n">
        <v>6</v>
      </c>
      <c r="C12" s="10" t="inlineStr">
        <is>
          <t>1. Numbers &amp; the Number System</t>
        </is>
      </c>
      <c r="D12" s="10" t="inlineStr">
        <is>
          <t>Percentages</t>
        </is>
      </c>
      <c r="F12" s="9" t="n">
        <v>6</v>
      </c>
      <c r="G12" s="10" t="inlineStr">
        <is>
          <t>1. Numbers and the Number System</t>
        </is>
      </c>
      <c r="H12" s="10" t="inlineStr">
        <is>
          <t>Ratio &amp; Proportion (Foundation)</t>
        </is>
      </c>
      <c r="K12" s="4" t="inlineStr">
        <is>
          <t>Project</t>
        </is>
      </c>
    </row>
    <row r="13">
      <c r="B13" s="7" t="n">
        <v>7</v>
      </c>
      <c r="C13" s="8" t="inlineStr">
        <is>
          <t>1. Numbers &amp; the Number System</t>
        </is>
      </c>
      <c r="D13" s="8" t="inlineStr">
        <is>
          <t>Compound Interest &amp; Depreciation</t>
        </is>
      </c>
      <c r="F13" s="7" t="n">
        <v>7</v>
      </c>
      <c r="G13" s="8" t="inlineStr">
        <is>
          <t>1. Numbers and the Number System</t>
        </is>
      </c>
      <c r="H13" s="8" t="inlineStr">
        <is>
          <t>Direct &amp; Inverse Proportion - Algebraic &amp; Graphical (Higher)</t>
        </is>
      </c>
      <c r="K13" s="4" t="inlineStr">
        <is>
          <t>Mock Exam</t>
        </is>
      </c>
    </row>
    <row r="14">
      <c r="B14" s="9" t="n">
        <v>8</v>
      </c>
      <c r="C14" s="10" t="inlineStr">
        <is>
          <t>1. Numbers &amp; the Number System</t>
        </is>
      </c>
      <c r="D14" s="10" t="inlineStr">
        <is>
          <t>Fractions, Decimals &amp; Percentages</t>
        </is>
      </c>
      <c r="F14" s="9" t="n">
        <v>8</v>
      </c>
      <c r="G14" s="10" t="inlineStr">
        <is>
          <t>2. Equations, Formulae &amp; Identities</t>
        </is>
      </c>
      <c r="H14" s="10" t="inlineStr">
        <is>
          <t>Rearranging Formulas - Subject Once (Foundation)</t>
        </is>
      </c>
    </row>
    <row r="15">
      <c r="B15" s="7" t="n">
        <v>9</v>
      </c>
      <c r="C15" s="8" t="inlineStr">
        <is>
          <t>1. Numbers &amp; the Number System</t>
        </is>
      </c>
      <c r="D15" s="8" t="inlineStr">
        <is>
          <t>Rounding, Estimation &amp; Bounds</t>
        </is>
      </c>
      <c r="F15" s="7" t="n">
        <v>9</v>
      </c>
      <c r="G15" s="8" t="inlineStr">
        <is>
          <t>2. Equations, Formulae &amp; Identities</t>
        </is>
      </c>
      <c r="H15" s="8" t="inlineStr">
        <is>
          <t>Rearranging Formulas - Subject Twice/Power (Higher)</t>
        </is>
      </c>
    </row>
    <row r="16">
      <c r="B16" s="9" t="n">
        <v>10</v>
      </c>
      <c r="C16" s="10" t="inlineStr">
        <is>
          <t>1. Numbers &amp; the Number System</t>
        </is>
      </c>
      <c r="D16" s="10" t="inlineStr">
        <is>
          <t>Surds</t>
        </is>
      </c>
      <c r="F16" s="9" t="n">
        <v>10</v>
      </c>
      <c r="G16" s="10" t="inlineStr">
        <is>
          <t>2. Equations, Formulae &amp; Identities</t>
        </is>
      </c>
      <c r="H16" s="10" t="inlineStr">
        <is>
          <t>Solving Linear Inequalities (Foundation)</t>
        </is>
      </c>
    </row>
    <row r="17">
      <c r="B17" s="7" t="n">
        <v>11</v>
      </c>
      <c r="C17" s="8" t="inlineStr">
        <is>
          <t>1. Numbers &amp; the Number System</t>
        </is>
      </c>
      <c r="D17" s="8" t="inlineStr">
        <is>
          <t>Using a Calculator</t>
        </is>
      </c>
      <c r="F17" s="7" t="n">
        <v>11</v>
      </c>
      <c r="G17" s="8" t="inlineStr">
        <is>
          <t>2. Equations, Formulae &amp; Identities</t>
        </is>
      </c>
      <c r="H17" s="8" t="inlineStr">
        <is>
          <t>Solving Quadratic Inequalities (Higher)</t>
        </is>
      </c>
      <c r="K17" s="2" t="inlineStr">
        <is>
          <t>STATUS</t>
        </is>
      </c>
    </row>
    <row r="18">
      <c r="B18" s="9" t="n">
        <v>12</v>
      </c>
      <c r="C18" s="10" t="inlineStr">
        <is>
          <t>1. Numbers &amp; the Number System</t>
        </is>
      </c>
      <c r="D18" s="10" t="inlineStr">
        <is>
          <t>Ratio Toolkit</t>
        </is>
      </c>
      <c r="F18" s="9" t="n">
        <v>12</v>
      </c>
      <c r="G18" s="10" t="inlineStr">
        <is>
          <t>2. Equations, Formulae &amp; Identities</t>
        </is>
      </c>
      <c r="H18" s="10" t="inlineStr">
        <is>
          <t>Simultaneous Linear Equations (Foundation)</t>
        </is>
      </c>
      <c r="K18" s="4" t="inlineStr">
        <is>
          <t>✅ Submitted On Time</t>
        </is>
      </c>
    </row>
    <row r="19">
      <c r="B19" s="7" t="n">
        <v>13</v>
      </c>
      <c r="C19" s="8" t="inlineStr">
        <is>
          <t>1. Numbers &amp; the Number System</t>
        </is>
      </c>
      <c r="D19" s="8" t="inlineStr">
        <is>
          <t>Ratio Problem Solving</t>
        </is>
      </c>
      <c r="F19" s="7" t="n">
        <v>13</v>
      </c>
      <c r="G19" s="8" t="inlineStr">
        <is>
          <t>2. Equations, Formulae &amp; Identities</t>
        </is>
      </c>
      <c r="H19" s="8" t="inlineStr">
        <is>
          <t>Simultaneous Linear &amp; Quadratic (Higher)</t>
        </is>
      </c>
      <c r="K19" s="4" t="inlineStr">
        <is>
          <t>⏰ Late Submission</t>
        </is>
      </c>
    </row>
    <row r="20">
      <c r="B20" s="9" t="n">
        <v>14</v>
      </c>
      <c r="C20" s="10" t="inlineStr">
        <is>
          <t>1. Numbers &amp; the Number System</t>
        </is>
      </c>
      <c r="D20" s="10" t="inlineStr">
        <is>
          <t>Exchange Rates &amp; Best Buys</t>
        </is>
      </c>
      <c r="F20" s="9" t="n">
        <v>14</v>
      </c>
      <c r="G20" s="10" t="inlineStr">
        <is>
          <t>2. Equations, Formulae &amp; Identities</t>
        </is>
      </c>
      <c r="H20" s="10" t="inlineStr">
        <is>
          <t>Algebraic Proof (Higher)</t>
        </is>
      </c>
      <c r="K20" s="4" t="inlineStr">
        <is>
          <t>❌ Missing</t>
        </is>
      </c>
    </row>
    <row r="21">
      <c r="B21" s="7" t="n">
        <v>15</v>
      </c>
      <c r="C21" s="8" t="inlineStr">
        <is>
          <t>1. Numbers &amp; the Number System</t>
        </is>
      </c>
      <c r="D21" s="8" t="inlineStr">
        <is>
          <t>Direct &amp; Inverse Proportion</t>
        </is>
      </c>
      <c r="F21" s="7" t="n">
        <v>15</v>
      </c>
      <c r="G21" s="8" t="inlineStr">
        <is>
          <t>3. Sequences, Functions &amp; Graphs</t>
        </is>
      </c>
      <c r="H21" s="8" t="inlineStr">
        <is>
          <t>Sequences - Arithmetic nth term (Foundation)</t>
        </is>
      </c>
      <c r="K21" s="4" t="inlineStr">
        <is>
          <t>📝 Pending</t>
        </is>
      </c>
    </row>
    <row r="22">
      <c r="B22" s="9" t="n">
        <v>16</v>
      </c>
      <c r="C22" s="10" t="inlineStr">
        <is>
          <t>2. Equations, Formulae &amp; Identities</t>
        </is>
      </c>
      <c r="D22" s="10" t="inlineStr">
        <is>
          <t>Algebra Toolkit</t>
        </is>
      </c>
      <c r="F22" s="9" t="n">
        <v>16</v>
      </c>
      <c r="G22" s="10" t="inlineStr">
        <is>
          <t>3. Sequences, Functions &amp; Graphs</t>
        </is>
      </c>
      <c r="H22" s="10" t="inlineStr">
        <is>
          <t>Summation of Arithmetic Series (Higher)</t>
        </is>
      </c>
    </row>
    <row r="23">
      <c r="B23" s="7" t="n">
        <v>17</v>
      </c>
      <c r="C23" s="8" t="inlineStr">
        <is>
          <t>2. Equations, Formulae &amp; Identities</t>
        </is>
      </c>
      <c r="D23" s="8" t="inlineStr">
        <is>
          <t>Algebraic Roots &amp; Indices</t>
        </is>
      </c>
      <c r="F23" s="7" t="n">
        <v>17</v>
      </c>
      <c r="G23" s="8" t="inlineStr">
        <is>
          <t>3. Sequences, Functions &amp; Graphs</t>
        </is>
      </c>
      <c r="H23" s="8" t="inlineStr">
        <is>
          <t>Function Notation &amp; Transformations (Higher)</t>
        </is>
      </c>
    </row>
    <row r="24">
      <c r="B24" s="9" t="n">
        <v>18</v>
      </c>
      <c r="C24" s="10" t="inlineStr">
        <is>
          <t>2. Equations, Formulae &amp; Identities</t>
        </is>
      </c>
      <c r="D24" s="10" t="inlineStr">
        <is>
          <t>Expanding Brackets</t>
        </is>
      </c>
      <c r="F24" s="9" t="n">
        <v>18</v>
      </c>
      <c r="G24" s="10" t="inlineStr">
        <is>
          <t>3. Sequences, Functions &amp; Graphs</t>
        </is>
      </c>
      <c r="H24" s="10" t="inlineStr">
        <is>
          <t>Transformations of Graphs (Higher)</t>
        </is>
      </c>
    </row>
    <row r="25">
      <c r="B25" s="7" t="n">
        <v>19</v>
      </c>
      <c r="C25" s="8" t="inlineStr">
        <is>
          <t>2. Equations, Formulae &amp; Identities</t>
        </is>
      </c>
      <c r="D25" s="8" t="inlineStr">
        <is>
          <t>Factorising</t>
        </is>
      </c>
      <c r="F25" s="7" t="n">
        <v>19</v>
      </c>
      <c r="G25" s="8" t="inlineStr">
        <is>
          <t>3. Sequences, Functions &amp; Graphs</t>
        </is>
      </c>
      <c r="H25" s="8" t="inlineStr">
        <is>
          <t>Differentiation (Higher)</t>
        </is>
      </c>
      <c r="K25" s="2" t="inlineStr">
        <is>
          <t>DIFFICULTY</t>
        </is>
      </c>
    </row>
    <row r="26">
      <c r="B26" s="9" t="n">
        <v>20</v>
      </c>
      <c r="C26" s="10" t="inlineStr">
        <is>
          <t>2. Equations, Formulae &amp; Identities</t>
        </is>
      </c>
      <c r="D26" s="10" t="inlineStr">
        <is>
          <t>Completing the Square</t>
        </is>
      </c>
      <c r="F26" s="9" t="n">
        <v>20</v>
      </c>
      <c r="G26" s="10" t="inlineStr">
        <is>
          <t>4. Geometry &amp; Trigonometry</t>
        </is>
      </c>
      <c r="H26" s="10" t="inlineStr">
        <is>
          <t>Angles in Polygons &amp; Circles (Foundation)</t>
        </is>
      </c>
      <c r="K26" s="4" t="inlineStr">
        <is>
          <t>🟢 Easy</t>
        </is>
      </c>
    </row>
    <row r="27">
      <c r="B27" s="7" t="n">
        <v>21</v>
      </c>
      <c r="C27" s="8" t="inlineStr">
        <is>
          <t>2. Equations, Formulae &amp; Identities</t>
        </is>
      </c>
      <c r="D27" s="8" t="inlineStr">
        <is>
          <t>Algebraic Fractions</t>
        </is>
      </c>
      <c r="F27" s="7" t="n">
        <v>21</v>
      </c>
      <c r="G27" s="8" t="inlineStr">
        <is>
          <t>4. Geometry &amp; Trigonometry</t>
        </is>
      </c>
      <c r="H27" s="8" t="inlineStr">
        <is>
          <t>Symmetry (Foundation)</t>
        </is>
      </c>
      <c r="K27" s="4" t="inlineStr">
        <is>
          <t>🟡 Medium</t>
        </is>
      </c>
    </row>
    <row r="28">
      <c r="B28" s="9" t="n">
        <v>22</v>
      </c>
      <c r="C28" s="10" t="inlineStr">
        <is>
          <t>2. Equations, Formulae &amp; Identities</t>
        </is>
      </c>
      <c r="D28" s="10" t="inlineStr">
        <is>
          <t>Rearranging Formulas</t>
        </is>
      </c>
      <c r="F28" s="9" t="n">
        <v>22</v>
      </c>
      <c r="G28" s="10" t="inlineStr">
        <is>
          <t>4. Geometry &amp; Trigonometry</t>
        </is>
      </c>
      <c r="H28" s="10" t="inlineStr">
        <is>
          <t>Constructions (Foundation)</t>
        </is>
      </c>
      <c r="K28" s="4" t="inlineStr">
        <is>
          <t>🔴 Hard</t>
        </is>
      </c>
    </row>
    <row r="29">
      <c r="B29" s="7" t="n">
        <v>23</v>
      </c>
      <c r="C29" s="8" t="inlineStr">
        <is>
          <t>2. Equations, Formulae &amp; Identities</t>
        </is>
      </c>
      <c r="D29" s="8" t="inlineStr">
        <is>
          <t>Algebraic Proof</t>
        </is>
      </c>
      <c r="F29" s="7" t="n">
        <v>23</v>
      </c>
      <c r="G29" s="8" t="inlineStr">
        <is>
          <t>4. Geometry &amp; Trigonometry</t>
        </is>
      </c>
      <c r="H29" s="8" t="inlineStr">
        <is>
          <t>Volume - Prisms &amp; Cylinders (Foundation)</t>
        </is>
      </c>
    </row>
    <row r="30">
      <c r="B30" s="9" t="n">
        <v>24</v>
      </c>
      <c r="C30" s="10" t="inlineStr">
        <is>
          <t>2. Equations, Formulae &amp; Identities</t>
        </is>
      </c>
      <c r="D30" s="10" t="inlineStr">
        <is>
          <t>Solving Linear Equations</t>
        </is>
      </c>
      <c r="F30" s="9" t="n">
        <v>24</v>
      </c>
      <c r="G30" s="10" t="inlineStr">
        <is>
          <t>4. Geometry &amp; Trigonometry</t>
        </is>
      </c>
      <c r="H30" s="10" t="inlineStr">
        <is>
          <t>Volume - Sphere &amp; Cone (Higher)</t>
        </is>
      </c>
    </row>
    <row r="31">
      <c r="B31" s="7" t="n">
        <v>25</v>
      </c>
      <c r="C31" s="8" t="inlineStr">
        <is>
          <t>2. Equations, Formulae &amp; Identities</t>
        </is>
      </c>
      <c r="D31" s="8" t="inlineStr">
        <is>
          <t>Solving Quadratic Equations</t>
        </is>
      </c>
      <c r="F31" s="7" t="n">
        <v>25</v>
      </c>
      <c r="G31" s="8" t="inlineStr">
        <is>
          <t>4. Geometry &amp; Trigonometry</t>
        </is>
      </c>
      <c r="H31" s="8" t="inlineStr">
        <is>
          <t>Similarity &amp; Scale Drawings (Foundation)</t>
        </is>
      </c>
    </row>
    <row r="32">
      <c r="B32" s="9" t="n">
        <v>26</v>
      </c>
      <c r="C32" s="10" t="inlineStr">
        <is>
          <t>2. Equations, Formulae &amp; Identities</t>
        </is>
      </c>
      <c r="D32" s="10" t="inlineStr">
        <is>
          <t>Solving Inequalities</t>
        </is>
      </c>
      <c r="F32" s="9" t="n">
        <v>26</v>
      </c>
      <c r="G32" s="10" t="inlineStr">
        <is>
          <t>4. Geometry &amp; Trigonometry</t>
        </is>
      </c>
      <c r="H32" s="10" t="inlineStr">
        <is>
          <t>Similar Area &amp; Volume (Foundation/Higher)</t>
        </is>
      </c>
      <c r="K32" s="2" t="inlineStr">
        <is>
          <t>QUIZ TYPE</t>
        </is>
      </c>
    </row>
    <row r="33">
      <c r="B33" s="7" t="n">
        <v>27</v>
      </c>
      <c r="C33" s="8" t="inlineStr">
        <is>
          <t>2. Equations, Formulae &amp; Identities</t>
        </is>
      </c>
      <c r="D33" s="8" t="inlineStr">
        <is>
          <t>Simultaneous Equations</t>
        </is>
      </c>
      <c r="F33" s="7" t="n">
        <v>27</v>
      </c>
      <c r="G33" s="8" t="inlineStr">
        <is>
          <t>4. Geometry &amp; Trigonometry</t>
        </is>
      </c>
      <c r="H33" s="8" t="inlineStr">
        <is>
          <t>Circle Properties - Chord &amp; Tangent (Foundation)</t>
        </is>
      </c>
      <c r="K33" s="4" t="inlineStr">
        <is>
          <t>Pop Quiz</t>
        </is>
      </c>
    </row>
    <row r="34">
      <c r="B34" s="9" t="n">
        <v>28</v>
      </c>
      <c r="C34" s="10" t="inlineStr">
        <is>
          <t>2. Equations, Formulae &amp; Identities</t>
        </is>
      </c>
      <c r="D34" s="10" t="inlineStr">
        <is>
          <t>Forming &amp; Solving Equations</t>
        </is>
      </c>
      <c r="F34" s="9" t="n">
        <v>28</v>
      </c>
      <c r="G34" s="10" t="inlineStr">
        <is>
          <t>4. Geometry &amp; Trigonometry</t>
        </is>
      </c>
      <c r="H34" s="10" t="inlineStr">
        <is>
          <t>Circle Theorems - Full Set (Higher)</t>
        </is>
      </c>
      <c r="K34" s="4" t="inlineStr">
        <is>
          <t>Topic Quiz</t>
        </is>
      </c>
    </row>
    <row r="35">
      <c r="B35" s="7" t="n">
        <v>29</v>
      </c>
      <c r="C35" s="8" t="inlineStr">
        <is>
          <t>3. Sequences, Functions &amp; Graphs</t>
        </is>
      </c>
      <c r="D35" s="8" t="inlineStr">
        <is>
          <t>Sequences</t>
        </is>
      </c>
      <c r="F35" s="7" t="n">
        <v>29</v>
      </c>
      <c r="G35" s="8" t="inlineStr">
        <is>
          <t>4. Geometry &amp; Trigonometry</t>
        </is>
      </c>
      <c r="H35" s="8" t="inlineStr">
        <is>
          <t>Internal/External Intersecting Chords (Higher)</t>
        </is>
      </c>
      <c r="K35" s="4" t="inlineStr">
        <is>
          <t>Weekly Quiz</t>
        </is>
      </c>
    </row>
    <row r="36">
      <c r="B36" s="9" t="n">
        <v>30</v>
      </c>
      <c r="C36" s="10" t="inlineStr">
        <is>
          <t>3. Sequences, Functions &amp; Graphs</t>
        </is>
      </c>
      <c r="D36" s="10" t="inlineStr">
        <is>
          <t>Functions</t>
        </is>
      </c>
      <c r="F36" s="9" t="n">
        <v>30</v>
      </c>
      <c r="G36" s="10" t="inlineStr">
        <is>
          <t>5. Vectors &amp; Transformation Geometry</t>
        </is>
      </c>
      <c r="H36" s="10" t="inlineStr">
        <is>
          <t>Transformations - Rot/Refl/Trans/Enl (Foundation)</t>
        </is>
      </c>
      <c r="K36" s="4" t="inlineStr">
        <is>
          <t>Chapter Test</t>
        </is>
      </c>
    </row>
    <row r="37">
      <c r="B37" s="7" t="n">
        <v>31</v>
      </c>
      <c r="C37" s="8" t="inlineStr">
        <is>
          <t>3. Sequences, Functions &amp; Graphs</t>
        </is>
      </c>
      <c r="D37" s="8" t="inlineStr">
        <is>
          <t>Coordinate Geometry</t>
        </is>
      </c>
      <c r="F37" s="7" t="n">
        <v>31</v>
      </c>
      <c r="G37" s="8" t="inlineStr">
        <is>
          <t>5. Vectors &amp; Transformation Geometry</t>
        </is>
      </c>
      <c r="H37" s="8" t="inlineStr">
        <is>
          <t>Vectors - Notation &amp; Operations (Higher)</t>
        </is>
      </c>
      <c r="K37" s="4" t="inlineStr">
        <is>
          <t>End-of-Unit</t>
        </is>
      </c>
    </row>
    <row r="38">
      <c r="B38" s="9" t="n">
        <v>32</v>
      </c>
      <c r="C38" s="10" t="inlineStr">
        <is>
          <t>3. Sequences, Functions &amp; Graphs</t>
        </is>
      </c>
      <c r="D38" s="10" t="inlineStr">
        <is>
          <t>Linear Graphs (y = mx + c)</t>
        </is>
      </c>
      <c r="F38" s="9" t="n">
        <v>32</v>
      </c>
      <c r="G38" s="10" t="inlineStr">
        <is>
          <t>5. Vectors &amp; Transformation Geometry</t>
        </is>
      </c>
      <c r="H38" s="10" t="inlineStr">
        <is>
          <t>Vectors - Magnitude &amp; Resultant (Higher)</t>
        </is>
      </c>
    </row>
    <row r="39">
      <c r="B39" s="7" t="n">
        <v>33</v>
      </c>
      <c r="C39" s="8" t="inlineStr">
        <is>
          <t>3. Sequences, Functions &amp; Graphs</t>
        </is>
      </c>
      <c r="D39" s="8" t="inlineStr">
        <is>
          <t>Graphs of Functions</t>
        </is>
      </c>
      <c r="F39" s="7" t="n">
        <v>33</v>
      </c>
      <c r="G39" s="8" t="inlineStr">
        <is>
          <t>5. Vectors &amp; Transformation Geometry</t>
        </is>
      </c>
      <c r="H39" s="8" t="inlineStr">
        <is>
          <t>Vectors - Geometrical Proof (Higher)</t>
        </is>
      </c>
    </row>
    <row r="40">
      <c r="B40" s="9" t="n">
        <v>34</v>
      </c>
      <c r="C40" s="10" t="inlineStr">
        <is>
          <t>3. Sequences, Functions &amp; Graphs</t>
        </is>
      </c>
      <c r="D40" s="10" t="inlineStr">
        <is>
          <t>Estimating Gradients</t>
        </is>
      </c>
      <c r="F40" s="9" t="n">
        <v>34</v>
      </c>
      <c r="G40" s="10" t="inlineStr">
        <is>
          <t>6. Statistics &amp; Probability</t>
        </is>
      </c>
      <c r="H40" s="10" t="inlineStr">
        <is>
          <t>Statistical Measures (Foundation)</t>
        </is>
      </c>
    </row>
    <row r="41">
      <c r="B41" s="7" t="n">
        <v>35</v>
      </c>
      <c r="C41" s="8" t="inlineStr">
        <is>
          <t>3. Sequences, Functions &amp; Graphs</t>
        </is>
      </c>
      <c r="D41" s="8" t="inlineStr">
        <is>
          <t>Real-Life Graphs</t>
        </is>
      </c>
      <c r="F41" s="7" t="n">
        <v>35</v>
      </c>
      <c r="G41" s="8" t="inlineStr">
        <is>
          <t>6. Statistics &amp; Probability</t>
        </is>
      </c>
      <c r="H41" s="8" t="inlineStr">
        <is>
          <t>Cumulative Frequency Diagrams (Foundation/Higher)</t>
        </is>
      </c>
    </row>
    <row r="42">
      <c r="B42" s="9" t="n">
        <v>36</v>
      </c>
      <c r="C42" s="10" t="inlineStr">
        <is>
          <t>3. Sequences, Functions &amp; Graphs</t>
        </is>
      </c>
      <c r="D42" s="10" t="inlineStr">
        <is>
          <t>Graphing Inequalities</t>
        </is>
      </c>
      <c r="F42" s="9" t="n">
        <v>36</v>
      </c>
      <c r="G42" s="10" t="inlineStr">
        <is>
          <t>6. Statistics &amp; Probability</t>
        </is>
      </c>
      <c r="H42" s="10" t="inlineStr">
        <is>
          <t>Median &amp; IQR from CF (Higher)</t>
        </is>
      </c>
    </row>
    <row r="43">
      <c r="B43" s="7" t="n">
        <v>37</v>
      </c>
      <c r="C43" s="8" t="inlineStr">
        <is>
          <t>3. Sequences, Functions &amp; Graphs</t>
        </is>
      </c>
      <c r="D43" s="8" t="inlineStr">
        <is>
          <t>Transformations of Graphs</t>
        </is>
      </c>
    </row>
    <row r="44">
      <c r="B44" s="9" t="n">
        <v>38</v>
      </c>
      <c r="C44" s="10" t="inlineStr">
        <is>
          <t>3. Sequences, Functions &amp; Graphs</t>
        </is>
      </c>
      <c r="D44" s="10" t="inlineStr">
        <is>
          <t>Differentiation</t>
        </is>
      </c>
    </row>
    <row r="45">
      <c r="B45" s="7" t="n">
        <v>39</v>
      </c>
      <c r="C45" s="8" t="inlineStr">
        <is>
          <t>4. Geometry &amp; Trigonometry</t>
        </is>
      </c>
      <c r="D45" s="8" t="inlineStr">
        <is>
          <t>Standard &amp; Compound Units</t>
        </is>
      </c>
    </row>
    <row r="46">
      <c r="B46" s="9" t="n">
        <v>40</v>
      </c>
      <c r="C46" s="10" t="inlineStr">
        <is>
          <t>4. Geometry &amp; Trigonometry</t>
        </is>
      </c>
      <c r="D46" s="10" t="inlineStr">
        <is>
          <t>Angles in Polygons &amp; Parallel Lines</t>
        </is>
      </c>
    </row>
    <row r="47">
      <c r="B47" s="7" t="n">
        <v>41</v>
      </c>
      <c r="C47" s="8" t="inlineStr">
        <is>
          <t>4. Geometry &amp; Trigonometry</t>
        </is>
      </c>
      <c r="D47" s="8" t="inlineStr">
        <is>
          <t>Bearings, Scale Drawing &amp; Constructions</t>
        </is>
      </c>
    </row>
    <row r="48">
      <c r="B48" s="9" t="n">
        <v>42</v>
      </c>
      <c r="C48" s="10" t="inlineStr">
        <is>
          <t>4. Geometry &amp; Trigonometry</t>
        </is>
      </c>
      <c r="D48" s="10" t="inlineStr">
        <is>
          <t>Circle Theorems</t>
        </is>
      </c>
    </row>
    <row r="49">
      <c r="B49" s="7" t="n">
        <v>43</v>
      </c>
      <c r="C49" s="8" t="inlineStr">
        <is>
          <t>4. Geometry &amp; Trigonometry</t>
        </is>
      </c>
      <c r="D49" s="8" t="inlineStr">
        <is>
          <t>Area &amp; Perimeter</t>
        </is>
      </c>
    </row>
    <row r="50">
      <c r="B50" s="9" t="n">
        <v>44</v>
      </c>
      <c r="C50" s="10" t="inlineStr">
        <is>
          <t>4. Geometry &amp; Trigonometry</t>
        </is>
      </c>
      <c r="D50" s="10" t="inlineStr">
        <is>
          <t>Circles, Arcs &amp; Sectors</t>
        </is>
      </c>
    </row>
    <row r="51">
      <c r="B51" s="7" t="n">
        <v>45</v>
      </c>
      <c r="C51" s="8" t="inlineStr">
        <is>
          <t>4. Geometry &amp; Trigonometry</t>
        </is>
      </c>
      <c r="D51" s="8" t="inlineStr">
        <is>
          <t>Volume &amp; Surface Area</t>
        </is>
      </c>
    </row>
    <row r="52">
      <c r="B52" s="9" t="n">
        <v>46</v>
      </c>
      <c r="C52" s="10" t="inlineStr">
        <is>
          <t>4. Geometry &amp; Trigonometry</t>
        </is>
      </c>
      <c r="D52" s="10" t="inlineStr">
        <is>
          <t>Congruence, Similarity &amp; Geometrical Proof</t>
        </is>
      </c>
    </row>
    <row r="53">
      <c r="B53" s="7" t="n">
        <v>47</v>
      </c>
      <c r="C53" s="8" t="inlineStr">
        <is>
          <t>4. Geometry &amp; Trigonometry</t>
        </is>
      </c>
      <c r="D53" s="8" t="inlineStr">
        <is>
          <t>Area &amp; Volume of Similar Shapes</t>
        </is>
      </c>
    </row>
    <row r="54">
      <c r="B54" s="9" t="n">
        <v>48</v>
      </c>
      <c r="C54" s="10" t="inlineStr">
        <is>
          <t>4. Geometry &amp; Trigonometry</t>
        </is>
      </c>
      <c r="D54" s="10" t="inlineStr">
        <is>
          <t>Right-Angled Triangles - Pythagoras &amp; Trigonometry</t>
        </is>
      </c>
    </row>
    <row r="55">
      <c r="B55" s="7" t="n">
        <v>49</v>
      </c>
      <c r="C55" s="8" t="inlineStr">
        <is>
          <t>4. Geometry &amp; Trigonometry</t>
        </is>
      </c>
      <c r="D55" s="8" t="inlineStr">
        <is>
          <t>Sine, Cosine Rule &amp; Area of Triangles</t>
        </is>
      </c>
    </row>
    <row r="56">
      <c r="B56" s="9" t="n">
        <v>50</v>
      </c>
      <c r="C56" s="10" t="inlineStr">
        <is>
          <t>4. Geometry &amp; Trigonometry</t>
        </is>
      </c>
      <c r="D56" s="10" t="inlineStr">
        <is>
          <t>3D Pythagoras &amp; Trigonometry</t>
        </is>
      </c>
    </row>
    <row r="57">
      <c r="B57" s="7" t="n">
        <v>51</v>
      </c>
      <c r="C57" s="8" t="inlineStr">
        <is>
          <t>5. Vectors &amp; Transformation Geometry</t>
        </is>
      </c>
      <c r="D57" s="8" t="inlineStr">
        <is>
          <t>Vectors</t>
        </is>
      </c>
    </row>
    <row r="58">
      <c r="B58" s="9" t="n">
        <v>52</v>
      </c>
      <c r="C58" s="10" t="inlineStr">
        <is>
          <t>5. Vectors &amp; Transformation Geometry</t>
        </is>
      </c>
      <c r="D58" s="10" t="inlineStr">
        <is>
          <t>Transformations</t>
        </is>
      </c>
    </row>
    <row r="59">
      <c r="B59" s="7" t="n">
        <v>53</v>
      </c>
      <c r="C59" s="8" t="inlineStr">
        <is>
          <t>6. Statistics &amp; Probability</t>
        </is>
      </c>
      <c r="D59" s="8" t="inlineStr">
        <is>
          <t>Statistics Toolkit</t>
        </is>
      </c>
    </row>
    <row r="60">
      <c r="B60" s="9" t="n">
        <v>54</v>
      </c>
      <c r="C60" s="10" t="inlineStr">
        <is>
          <t>6. Statistics &amp; Probability</t>
        </is>
      </c>
      <c r="D60" s="10" t="inlineStr">
        <is>
          <t>Histograms</t>
        </is>
      </c>
    </row>
    <row r="61">
      <c r="B61" s="7" t="n">
        <v>55</v>
      </c>
      <c r="C61" s="8" t="inlineStr">
        <is>
          <t>6. Statistics &amp; Probability</t>
        </is>
      </c>
      <c r="D61" s="8" t="inlineStr">
        <is>
          <t>Cumulative Frequency Diagrams</t>
        </is>
      </c>
    </row>
    <row r="62">
      <c r="B62" s="9" t="n">
        <v>56</v>
      </c>
      <c r="C62" s="10" t="inlineStr">
        <is>
          <t>6. Statistics &amp; Probability</t>
        </is>
      </c>
      <c r="D62" s="10" t="inlineStr">
        <is>
          <t>Probability Toolkit</t>
        </is>
      </c>
    </row>
    <row r="63">
      <c r="B63" s="7" t="n">
        <v>57</v>
      </c>
      <c r="C63" s="8" t="inlineStr">
        <is>
          <t>6. Statistics &amp; Probability</t>
        </is>
      </c>
      <c r="D63" s="8" t="inlineStr">
        <is>
          <t>Probability Diagrams - Venn &amp; Tree Diagrams</t>
        </is>
      </c>
    </row>
    <row r="64">
      <c r="B64" s="9" t="n">
        <v>58</v>
      </c>
      <c r="C64" s="10" t="inlineStr">
        <is>
          <t>6. Statistics &amp; Probability</t>
        </is>
      </c>
      <c r="D64" s="10" t="inlineStr">
        <is>
          <t>Combined &amp; Conditional Probability</t>
        </is>
      </c>
    </row>
  </sheetData>
  <mergeCells count="4">
    <mergeCell ref="B2:F2"/>
    <mergeCell ref="B5:D5"/>
    <mergeCell ref="B3:F3"/>
    <mergeCell ref="F5:H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2026-04-16T21:53:11Z</dcterms:created>
  <dcterms:modified xsi:type="dcterms:W3CDTF">2026-04-16T22:06:06Z</dcterms:modified>
</cp:coreProperties>
</file>